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 Widiyati\Desktop\JI\"/>
    </mc:Choice>
  </mc:AlternateContent>
  <xr:revisionPtr revIDLastSave="0" documentId="13_ncr:1_{EDE82100-467B-49D2-81D2-DD03CBE96A8C}" xr6:coauthVersionLast="37" xr6:coauthVersionMax="37" xr10:uidLastSave="{00000000-0000-0000-0000-000000000000}"/>
  <bookViews>
    <workbookView xWindow="0" yWindow="0" windowWidth="20490" windowHeight="8130" activeTab="7" xr2:uid="{86D6DB58-3969-4364-BBAC-3A19E75FBD18}"/>
  </bookViews>
  <sheets>
    <sheet name="Sheet1" sheetId="1" r:id="rId1"/>
    <sheet name="Master" sheetId="8" r:id="rId2"/>
    <sheet name="NP" sheetId="2" r:id="rId3"/>
    <sheet name="PRF" sheetId="4" r:id="rId4"/>
    <sheet name="UP" sheetId="5" r:id="rId5"/>
    <sheet name="LVRG" sheetId="6" r:id="rId6"/>
    <sheet name="COH" sheetId="7" r:id="rId7"/>
    <sheet name="Tabulasi" sheetId="9" r:id="rId8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7" l="1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2" i="7"/>
  <c r="G3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2" i="6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2" i="5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2" i="4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2" i="2"/>
  <c r="E31" i="7"/>
  <c r="E30" i="7"/>
  <c r="E9" i="7"/>
  <c r="E8" i="7"/>
  <c r="E5" i="7"/>
  <c r="E4" i="7"/>
  <c r="E3" i="7"/>
  <c r="E2" i="7"/>
  <c r="F35" i="6"/>
  <c r="F34" i="6"/>
  <c r="F31" i="6"/>
  <c r="F30" i="6"/>
  <c r="F25" i="6"/>
  <c r="F24" i="6"/>
  <c r="F23" i="6"/>
  <c r="F22" i="6"/>
  <c r="F21" i="6"/>
  <c r="F20" i="6"/>
  <c r="F19" i="6"/>
  <c r="F18" i="6"/>
  <c r="F17" i="6"/>
  <c r="F16" i="6"/>
  <c r="F13" i="6"/>
  <c r="F12" i="6"/>
  <c r="F11" i="6"/>
  <c r="F10" i="6"/>
  <c r="F9" i="6"/>
  <c r="F8" i="6"/>
  <c r="F7" i="6"/>
  <c r="F6" i="6"/>
  <c r="F5" i="6"/>
  <c r="F4" i="6"/>
  <c r="F3" i="6"/>
  <c r="F2" i="6"/>
  <c r="E35" i="6"/>
  <c r="E34" i="6"/>
  <c r="E31" i="6"/>
  <c r="E30" i="6"/>
  <c r="E27" i="6"/>
  <c r="E26" i="6"/>
  <c r="E25" i="6"/>
  <c r="E24" i="6"/>
  <c r="E23" i="6"/>
  <c r="E22" i="6"/>
  <c r="E21" i="6"/>
  <c r="E20" i="6"/>
  <c r="E19" i="6"/>
  <c r="E18" i="6"/>
  <c r="E17" i="6"/>
  <c r="E16" i="6"/>
  <c r="E13" i="6"/>
  <c r="E12" i="6"/>
  <c r="E11" i="6"/>
  <c r="E10" i="6"/>
  <c r="E9" i="6"/>
  <c r="E8" i="6"/>
  <c r="E7" i="6"/>
  <c r="E6" i="6"/>
  <c r="E5" i="6"/>
  <c r="E4" i="6"/>
  <c r="E3" i="6"/>
  <c r="E2" i="6"/>
  <c r="E35" i="5"/>
  <c r="E34" i="5"/>
  <c r="E31" i="5"/>
  <c r="E30" i="5"/>
  <c r="E27" i="5"/>
  <c r="E25" i="5"/>
  <c r="E24" i="5"/>
  <c r="E23" i="5"/>
  <c r="E22" i="5"/>
  <c r="E21" i="5"/>
  <c r="E20" i="5"/>
  <c r="E19" i="5"/>
  <c r="E18" i="5"/>
  <c r="E17" i="5"/>
  <c r="E16" i="5"/>
  <c r="E13" i="5"/>
  <c r="E12" i="5"/>
  <c r="E11" i="5"/>
  <c r="E10" i="5"/>
  <c r="E9" i="5"/>
  <c r="E8" i="5"/>
  <c r="E7" i="5"/>
  <c r="E6" i="5"/>
  <c r="E5" i="5"/>
  <c r="E4" i="5"/>
  <c r="E3" i="5"/>
  <c r="E2" i="5"/>
  <c r="F35" i="4"/>
  <c r="F34" i="4"/>
  <c r="F31" i="4"/>
  <c r="F30" i="4"/>
  <c r="F27" i="4"/>
  <c r="F25" i="4"/>
  <c r="F24" i="4"/>
  <c r="F23" i="4"/>
  <c r="F22" i="4"/>
  <c r="F21" i="4"/>
  <c r="F20" i="4"/>
  <c r="F19" i="4"/>
  <c r="F18" i="4"/>
  <c r="F17" i="4"/>
  <c r="F16" i="4"/>
  <c r="F13" i="4"/>
  <c r="F12" i="4"/>
  <c r="F11" i="4"/>
  <c r="F10" i="4"/>
  <c r="F9" i="4"/>
  <c r="F8" i="4"/>
  <c r="F7" i="4"/>
  <c r="F6" i="4"/>
  <c r="F5" i="4"/>
  <c r="F4" i="4"/>
  <c r="F3" i="4"/>
  <c r="F2" i="4"/>
  <c r="E35" i="4"/>
  <c r="E34" i="4"/>
  <c r="E31" i="4"/>
  <c r="E30" i="4"/>
  <c r="E25" i="4"/>
  <c r="E24" i="4"/>
  <c r="E23" i="4"/>
  <c r="E22" i="4"/>
  <c r="E21" i="4"/>
  <c r="E20" i="4"/>
  <c r="E19" i="4"/>
  <c r="E18" i="4"/>
  <c r="E17" i="4"/>
  <c r="E16" i="4"/>
  <c r="E13" i="4"/>
  <c r="E12" i="4"/>
  <c r="E11" i="4"/>
  <c r="E10" i="4"/>
  <c r="E9" i="4"/>
  <c r="E8" i="4"/>
  <c r="E7" i="4"/>
  <c r="E6" i="4"/>
  <c r="E5" i="4"/>
  <c r="E4" i="4"/>
  <c r="E3" i="4"/>
  <c r="E2" i="4"/>
  <c r="F35" i="2"/>
  <c r="F34" i="2"/>
  <c r="F32" i="2"/>
  <c r="F33" i="2" s="1"/>
  <c r="F30" i="2"/>
  <c r="F31" i="2" s="1"/>
  <c r="F29" i="2"/>
  <c r="F28" i="2"/>
  <c r="F25" i="2"/>
  <c r="F24" i="2"/>
  <c r="F23" i="2"/>
  <c r="F22" i="2"/>
  <c r="F20" i="2"/>
  <c r="F21" i="2" s="1"/>
  <c r="F19" i="2"/>
  <c r="F18" i="2"/>
  <c r="F16" i="2"/>
  <c r="F17" i="2" s="1"/>
  <c r="F15" i="2"/>
  <c r="F14" i="2"/>
  <c r="F13" i="2"/>
  <c r="F12" i="2"/>
  <c r="F11" i="2"/>
  <c r="F10" i="2"/>
  <c r="F9" i="2"/>
  <c r="F8" i="2"/>
  <c r="F7" i="2"/>
  <c r="F5" i="2"/>
  <c r="F4" i="2"/>
  <c r="F2" i="2"/>
  <c r="F3" i="2" s="1"/>
  <c r="E35" i="2"/>
  <c r="E34" i="2"/>
  <c r="E31" i="2"/>
  <c r="E30" i="2"/>
  <c r="E25" i="2"/>
  <c r="E24" i="2"/>
  <c r="E23" i="2"/>
  <c r="E22" i="2"/>
  <c r="E21" i="2"/>
  <c r="E20" i="2"/>
  <c r="E19" i="2"/>
  <c r="E18" i="2"/>
  <c r="E17" i="2"/>
  <c r="E16" i="2"/>
  <c r="E13" i="2"/>
  <c r="E12" i="2"/>
  <c r="E11" i="2"/>
  <c r="E10" i="2"/>
  <c r="E9" i="2"/>
  <c r="E8" i="2"/>
  <c r="E7" i="2"/>
  <c r="E6" i="2"/>
  <c r="E5" i="2"/>
  <c r="E4" i="2"/>
  <c r="E3" i="2"/>
  <c r="E2" i="2"/>
  <c r="I35" i="8"/>
  <c r="H35" i="8"/>
  <c r="G35" i="8"/>
  <c r="F35" i="8"/>
  <c r="E35" i="8"/>
  <c r="I34" i="8"/>
  <c r="H34" i="8"/>
  <c r="G34" i="8"/>
  <c r="F34" i="8"/>
  <c r="E34" i="8"/>
  <c r="F33" i="8"/>
  <c r="F32" i="8"/>
  <c r="J31" i="8"/>
  <c r="I31" i="8"/>
  <c r="H31" i="8"/>
  <c r="G31" i="8"/>
  <c r="F31" i="8"/>
  <c r="E31" i="8"/>
  <c r="J30" i="8"/>
  <c r="I30" i="8"/>
  <c r="H30" i="8"/>
  <c r="G30" i="8"/>
  <c r="F30" i="8"/>
  <c r="E30" i="8"/>
  <c r="F29" i="8"/>
  <c r="F28" i="8"/>
  <c r="I27" i="8" l="1"/>
  <c r="H27" i="8"/>
  <c r="I26" i="8"/>
  <c r="I25" i="8"/>
  <c r="H25" i="8"/>
  <c r="G25" i="8"/>
  <c r="F25" i="8"/>
  <c r="E25" i="8"/>
  <c r="I24" i="8"/>
  <c r="H24" i="8"/>
  <c r="G24" i="8"/>
  <c r="F24" i="8"/>
  <c r="E24" i="8"/>
  <c r="I23" i="8"/>
  <c r="H23" i="8"/>
  <c r="G23" i="8"/>
  <c r="F23" i="8"/>
  <c r="E23" i="8"/>
  <c r="I22" i="8"/>
  <c r="H22" i="8"/>
  <c r="G22" i="8"/>
  <c r="F22" i="8"/>
  <c r="E22" i="8"/>
  <c r="I21" i="8"/>
  <c r="H21" i="8"/>
  <c r="G21" i="8"/>
  <c r="F21" i="8"/>
  <c r="E21" i="8"/>
  <c r="I20" i="8"/>
  <c r="H20" i="8"/>
  <c r="G20" i="8"/>
  <c r="F20" i="8"/>
  <c r="E20" i="8"/>
  <c r="I19" i="8"/>
  <c r="H19" i="8"/>
  <c r="G19" i="8"/>
  <c r="F19" i="8"/>
  <c r="E19" i="8"/>
  <c r="I18" i="8"/>
  <c r="H18" i="8"/>
  <c r="G18" i="8"/>
  <c r="F18" i="8"/>
  <c r="E18" i="8"/>
  <c r="I17" i="8" l="1"/>
  <c r="H17" i="8"/>
  <c r="G17" i="8"/>
  <c r="F17" i="8"/>
  <c r="E17" i="8"/>
  <c r="I16" i="8"/>
  <c r="H16" i="8"/>
  <c r="G16" i="8"/>
  <c r="F16" i="8"/>
  <c r="E16" i="8"/>
  <c r="F15" i="8"/>
  <c r="F14" i="8"/>
  <c r="J9" i="8"/>
  <c r="J8" i="8"/>
  <c r="I13" i="8"/>
  <c r="H13" i="8"/>
  <c r="G13" i="8"/>
  <c r="F13" i="8"/>
  <c r="E13" i="8"/>
  <c r="I12" i="8"/>
  <c r="H12" i="8"/>
  <c r="G12" i="8"/>
  <c r="F12" i="8"/>
  <c r="E12" i="8"/>
  <c r="I11" i="8"/>
  <c r="H11" i="8"/>
  <c r="G11" i="8"/>
  <c r="F11" i="8"/>
  <c r="E11" i="8"/>
  <c r="I10" i="8"/>
  <c r="H10" i="8"/>
  <c r="G10" i="8"/>
  <c r="F10" i="8"/>
  <c r="E10" i="8"/>
  <c r="I9" i="8"/>
  <c r="H9" i="8"/>
  <c r="G9" i="8"/>
  <c r="F9" i="8"/>
  <c r="E9" i="8"/>
  <c r="I8" i="8"/>
  <c r="H8" i="8"/>
  <c r="G8" i="8"/>
  <c r="F8" i="8"/>
  <c r="E8" i="8"/>
  <c r="I7" i="8"/>
  <c r="H7" i="8"/>
  <c r="G7" i="8"/>
  <c r="F7" i="8"/>
  <c r="E7" i="8"/>
  <c r="I6" i="8"/>
  <c r="H6" i="8"/>
  <c r="G6" i="8"/>
  <c r="E6" i="8"/>
  <c r="J5" i="8" l="1"/>
  <c r="I5" i="8"/>
  <c r="H5" i="8"/>
  <c r="G5" i="8"/>
  <c r="F5" i="8"/>
  <c r="E5" i="8"/>
  <c r="J4" i="8"/>
  <c r="I4" i="8"/>
  <c r="H4" i="8"/>
  <c r="G4" i="8"/>
  <c r="F4" i="8"/>
  <c r="E4" i="8"/>
  <c r="J3" i="8"/>
  <c r="I3" i="8"/>
  <c r="H2" i="8"/>
  <c r="H3" i="8"/>
  <c r="G3" i="8"/>
  <c r="F3" i="8"/>
  <c r="E3" i="8"/>
  <c r="J2" i="8"/>
  <c r="I2" i="8"/>
  <c r="G2" i="8"/>
  <c r="F2" i="8"/>
  <c r="E2" i="8"/>
</calcChain>
</file>

<file path=xl/sharedStrings.xml><?xml version="1.0" encoding="utf-8"?>
<sst xmlns="http://schemas.openxmlformats.org/spreadsheetml/2006/main" count="445" uniqueCount="81">
  <si>
    <t>Nama Perusahaan</t>
  </si>
  <si>
    <t>Tanggal IPO</t>
  </si>
  <si>
    <t>Kode Saham</t>
  </si>
  <si>
    <t>ADRO</t>
  </si>
  <si>
    <t>ARII</t>
  </si>
  <si>
    <t>Adaro Energy Tbk</t>
  </si>
  <si>
    <t>Atlas Resources Tbk</t>
  </si>
  <si>
    <t>BOSS</t>
  </si>
  <si>
    <t>BRMS</t>
  </si>
  <si>
    <t>BSSR</t>
  </si>
  <si>
    <t>BUMI</t>
  </si>
  <si>
    <t>BYAN</t>
  </si>
  <si>
    <t>DEWA</t>
  </si>
  <si>
    <t>DOID</t>
  </si>
  <si>
    <t>FIRE</t>
  </si>
  <si>
    <t>Borneo Olah Sarana Sukses Tbk</t>
  </si>
  <si>
    <t>Bumi Resources Minerals Tbk</t>
  </si>
  <si>
    <t>Baramulti Suksessarana Tbk</t>
  </si>
  <si>
    <t>Bumi Resources Tbk</t>
  </si>
  <si>
    <t>Bayan Resources Tbk</t>
  </si>
  <si>
    <t>Darma Henwa Tbk</t>
  </si>
  <si>
    <t>Delta Dunia Makmur Tbk</t>
  </si>
  <si>
    <t>Alfa Energi Investama</t>
  </si>
  <si>
    <t>GEMS</t>
  </si>
  <si>
    <t>GTBO</t>
  </si>
  <si>
    <t>HRUM</t>
  </si>
  <si>
    <t>ITMG</t>
  </si>
  <si>
    <t>KKGI</t>
  </si>
  <si>
    <t>MBAP</t>
  </si>
  <si>
    <t>MYOH</t>
  </si>
  <si>
    <t>PKPK</t>
  </si>
  <si>
    <t>PTBA</t>
  </si>
  <si>
    <t>Golden Energy Mines Tbk</t>
  </si>
  <si>
    <t>Garda Tujuh Buana Tbk</t>
  </si>
  <si>
    <t>Harum Energy Tbk</t>
  </si>
  <si>
    <t>Indo Tambangraya Megah Tbk</t>
  </si>
  <si>
    <t>Resource Alam Indonesia Tbk</t>
  </si>
  <si>
    <t>Mitrabara Adiperdana Tbk</t>
  </si>
  <si>
    <t>Samindo Resources Tbk</t>
  </si>
  <si>
    <t>Perdana Karya Perkasa Tbk</t>
  </si>
  <si>
    <t>Tambang Batubara Bukit Asam (Persero) Tbk</t>
  </si>
  <si>
    <t>Petrosea Tbk</t>
  </si>
  <si>
    <t>SMMT</t>
  </si>
  <si>
    <t>Golden Eagle Energy Tbk</t>
  </si>
  <si>
    <t>TOBA</t>
  </si>
  <si>
    <t>Toba Bara Sejahtra Tbk</t>
  </si>
  <si>
    <t>x</t>
  </si>
  <si>
    <t>-</t>
  </si>
  <si>
    <t>PTRO</t>
  </si>
  <si>
    <t>Tahun</t>
  </si>
  <si>
    <t>Ekuitas</t>
  </si>
  <si>
    <t>Saham Beredar</t>
  </si>
  <si>
    <t>No.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</si>
  <si>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</si>
  <si>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</si>
  <si>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</si>
  <si>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</si>
  <si>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</si>
  <si>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</si>
  <si>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</si>
  <si>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</si>
  <si>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</si>
  <si>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</si>
  <si>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</si>
  <si>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</si>
  <si>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</si>
  <si>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</si>
  <si>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</si>
  <si>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</si>
  <si>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</si>
  <si>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Laba Bersih</t>
  </si>
  <si>
    <t>Total Aktiva</t>
  </si>
  <si>
    <t>Total Aset</t>
  </si>
  <si>
    <t>Hutang</t>
  </si>
  <si>
    <t>Cash on Hand</t>
  </si>
  <si>
    <t>Total Hutang</t>
  </si>
  <si>
    <t>NP</t>
  </si>
  <si>
    <t>PRF</t>
  </si>
  <si>
    <t>UP</t>
  </si>
  <si>
    <t>LVRG</t>
  </si>
  <si>
    <t>COH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</si>
</sst>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p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15" fontId="0" fillId="0" borderId="0" xfId="0" applyNumberFormat="1" applyAlignment="1">
      <alignment horizontal="center"/>
    </xf>
    <xf numFmtId="164" fontId="0" fillId="0" borderId="0" xfId="0" applyNumberFormat="1"/>
    <xf numFmtId="164" fontId="0" fillId="0" borderId="0" xfId="0" quotePrefix="1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141B6-C3A4-41B1-95D5-0FB2163DF312}">
  <dimension ref="A1:E23"/>
  <sheetViews>
    <sheetView workbookViewId="0">
      <selection activeCell="H13" sqref="H13"/>
    </sheetView>
  </sheetViews>
  <sheetFormatPr defaultRowHeight="15" x14ac:dyDescent="0.25"/>
  <cols>
    <col min="1" max="1" width="14.5703125" style="1" customWidth="1"/>
    <col min="2" max="2" width="40.5703125" customWidth="1"/>
    <col min="3" max="3" width="16" style="1" customWidth="1"/>
    <col min="4" max="5" width="9.140625" style="1"/>
  </cols>
  <sheetData>
    <row r="1" spans="1:5" s="1" customFormat="1" x14ac:dyDescent="0.25">
      <c r="A1" s="1" t="s">
        <v>2</v>
      </c>
      <c r="B1" s="1" t="s">
        <v>0</v>
      </c>
      <c r="C1" s="1" t="s">
        <v>1</v>
      </c>
      <c r="D1" s="1">
        <v>2017</v>
      </c>
      <c r="E1" s="1">
        <v>2018</v>
      </c>
    </row>
    <row r="2" spans="1:5" x14ac:dyDescent="0.25">
      <c r="A2" s="1" t="s">
        <v>3</v>
      </c>
      <c r="B2" t="s">
        <v>5</v>
      </c>
      <c r="C2" s="2">
        <v>39645</v>
      </c>
      <c r="D2" s="1" t="s">
        <v>46</v>
      </c>
      <c r="E2" s="1" t="s">
        <v>46</v>
      </c>
    </row>
    <row r="3" spans="1:5" x14ac:dyDescent="0.25">
      <c r="A3" s="1" t="s">
        <v>4</v>
      </c>
      <c r="B3" t="s">
        <v>6</v>
      </c>
      <c r="C3" s="2">
        <v>40855</v>
      </c>
      <c r="D3" s="1" t="s">
        <v>46</v>
      </c>
      <c r="E3" s="1" t="s">
        <v>46</v>
      </c>
    </row>
    <row r="4" spans="1:5" x14ac:dyDescent="0.25">
      <c r="A4" s="1" t="s">
        <v>7</v>
      </c>
      <c r="B4" t="s">
        <v>15</v>
      </c>
      <c r="C4" s="2">
        <v>43146</v>
      </c>
      <c r="D4" s="1" t="s">
        <v>47</v>
      </c>
      <c r="E4" s="1" t="s">
        <v>46</v>
      </c>
    </row>
    <row r="5" spans="1:5" x14ac:dyDescent="0.25">
      <c r="A5" s="1" t="s">
        <v>8</v>
      </c>
      <c r="B5" t="s">
        <v>16</v>
      </c>
      <c r="C5" s="2">
        <v>40521</v>
      </c>
      <c r="D5" s="1" t="s">
        <v>47</v>
      </c>
      <c r="E5" s="1" t="s">
        <v>46</v>
      </c>
    </row>
    <row r="6" spans="1:5" x14ac:dyDescent="0.25">
      <c r="A6" s="1" t="s">
        <v>9</v>
      </c>
      <c r="B6" t="s">
        <v>17</v>
      </c>
      <c r="C6" s="2">
        <v>41221</v>
      </c>
      <c r="D6" s="1" t="s">
        <v>46</v>
      </c>
      <c r="E6" s="1" t="s">
        <v>46</v>
      </c>
    </row>
    <row r="7" spans="1:5" x14ac:dyDescent="0.25">
      <c r="A7" s="1" t="s">
        <v>10</v>
      </c>
      <c r="B7" t="s">
        <v>18</v>
      </c>
      <c r="C7" s="2">
        <v>33084</v>
      </c>
      <c r="D7" s="1" t="s">
        <v>46</v>
      </c>
      <c r="E7" s="1" t="s">
        <v>46</v>
      </c>
    </row>
    <row r="8" spans="1:5" x14ac:dyDescent="0.25">
      <c r="A8" s="1" t="s">
        <v>11</v>
      </c>
      <c r="B8" t="s">
        <v>19</v>
      </c>
      <c r="C8" s="2">
        <v>39672</v>
      </c>
      <c r="D8" s="1" t="s">
        <v>46</v>
      </c>
      <c r="E8" s="1" t="s">
        <v>46</v>
      </c>
    </row>
    <row r="9" spans="1:5" x14ac:dyDescent="0.25">
      <c r="A9" s="1" t="s">
        <v>12</v>
      </c>
      <c r="B9" t="s">
        <v>20</v>
      </c>
      <c r="C9" s="2">
        <v>39351</v>
      </c>
      <c r="D9" s="1" t="s">
        <v>47</v>
      </c>
      <c r="E9" s="1" t="s">
        <v>47</v>
      </c>
    </row>
    <row r="10" spans="1:5" x14ac:dyDescent="0.25">
      <c r="A10" s="1" t="s">
        <v>13</v>
      </c>
      <c r="B10" t="s">
        <v>21</v>
      </c>
      <c r="C10" s="2">
        <v>37057</v>
      </c>
      <c r="D10" s="1" t="s">
        <v>46</v>
      </c>
      <c r="E10" s="1" t="s">
        <v>46</v>
      </c>
    </row>
    <row r="11" spans="1:5" x14ac:dyDescent="0.25">
      <c r="A11" s="1" t="s">
        <v>14</v>
      </c>
      <c r="B11" t="s">
        <v>22</v>
      </c>
      <c r="C11" s="2">
        <v>42895</v>
      </c>
      <c r="D11" s="1" t="s">
        <v>46</v>
      </c>
      <c r="E11" s="1" t="s">
        <v>46</v>
      </c>
    </row>
    <row r="12" spans="1:5" x14ac:dyDescent="0.25">
      <c r="A12" s="1" t="s">
        <v>23</v>
      </c>
      <c r="B12" t="s">
        <v>32</v>
      </c>
      <c r="C12" s="2">
        <v>40864</v>
      </c>
      <c r="D12" s="1" t="s">
        <v>46</v>
      </c>
      <c r="E12" s="1" t="s">
        <v>46</v>
      </c>
    </row>
    <row r="13" spans="1:5" x14ac:dyDescent="0.25">
      <c r="A13" s="1" t="s">
        <v>24</v>
      </c>
      <c r="B13" t="s">
        <v>33</v>
      </c>
      <c r="C13" s="2">
        <v>40003</v>
      </c>
      <c r="D13" s="1" t="s">
        <v>47</v>
      </c>
      <c r="E13" s="1" t="s">
        <v>47</v>
      </c>
    </row>
    <row r="14" spans="1:5" x14ac:dyDescent="0.25">
      <c r="A14" s="1" t="s">
        <v>25</v>
      </c>
      <c r="B14" t="s">
        <v>34</v>
      </c>
      <c r="C14" s="2">
        <v>40457</v>
      </c>
      <c r="D14" s="1" t="s">
        <v>46</v>
      </c>
      <c r="E14" s="1" t="s">
        <v>46</v>
      </c>
    </row>
    <row r="15" spans="1:5" x14ac:dyDescent="0.25">
      <c r="A15" s="1" t="s">
        <v>26</v>
      </c>
      <c r="B15" t="s">
        <v>35</v>
      </c>
      <c r="C15" s="2">
        <v>39434</v>
      </c>
      <c r="D15" s="1" t="s">
        <v>46</v>
      </c>
      <c r="E15" s="1" t="s">
        <v>46</v>
      </c>
    </row>
    <row r="16" spans="1:5" x14ac:dyDescent="0.25">
      <c r="A16" s="1" t="s">
        <v>27</v>
      </c>
      <c r="B16" t="s">
        <v>36</v>
      </c>
      <c r="C16" s="2">
        <v>33420</v>
      </c>
      <c r="D16" s="1" t="s">
        <v>47</v>
      </c>
      <c r="E16" s="1" t="s">
        <v>46</v>
      </c>
    </row>
    <row r="17" spans="1:5" x14ac:dyDescent="0.25">
      <c r="A17" s="1" t="s">
        <v>28</v>
      </c>
      <c r="B17" t="s">
        <v>37</v>
      </c>
      <c r="C17" s="2">
        <v>41830</v>
      </c>
      <c r="D17" s="1" t="s">
        <v>46</v>
      </c>
      <c r="E17" s="1" t="s">
        <v>46</v>
      </c>
    </row>
    <row r="18" spans="1:5" x14ac:dyDescent="0.25">
      <c r="A18" s="1" t="s">
        <v>29</v>
      </c>
      <c r="B18" t="s">
        <v>38</v>
      </c>
      <c r="C18" s="2">
        <v>36734</v>
      </c>
      <c r="D18" s="1" t="s">
        <v>46</v>
      </c>
      <c r="E18" s="1" t="s">
        <v>46</v>
      </c>
    </row>
    <row r="19" spans="1:5" x14ac:dyDescent="0.25">
      <c r="A19" s="1" t="s">
        <v>30</v>
      </c>
      <c r="B19" t="s">
        <v>39</v>
      </c>
      <c r="C19" s="2">
        <v>39274</v>
      </c>
      <c r="D19" s="1" t="s">
        <v>46</v>
      </c>
      <c r="E19" s="1" t="s">
        <v>46</v>
      </c>
    </row>
    <row r="20" spans="1:5" x14ac:dyDescent="0.25">
      <c r="A20" s="1" t="s">
        <v>31</v>
      </c>
      <c r="B20" t="s">
        <v>40</v>
      </c>
      <c r="C20" s="2">
        <v>37613</v>
      </c>
      <c r="D20" s="1" t="s">
        <v>46</v>
      </c>
      <c r="E20" s="1" t="s">
        <v>46</v>
      </c>
    </row>
    <row r="21" spans="1:5" x14ac:dyDescent="0.25">
      <c r="A21" s="1" t="s">
        <v>48</v>
      </c>
      <c r="B21" t="s">
        <v>41</v>
      </c>
      <c r="C21" s="2">
        <v>33014</v>
      </c>
      <c r="D21" s="1" t="s">
        <v>46</v>
      </c>
      <c r="E21" s="1" t="s">
        <v>46</v>
      </c>
    </row>
    <row r="22" spans="1:5" x14ac:dyDescent="0.25">
      <c r="A22" s="1" t="s">
        <v>42</v>
      </c>
      <c r="B22" t="s">
        <v>43</v>
      </c>
      <c r="C22" s="2">
        <v>36585</v>
      </c>
      <c r="D22" s="1" t="s">
        <v>46</v>
      </c>
      <c r="E22" s="1" t="s">
        <v>46</v>
      </c>
    </row>
    <row r="23" spans="1:5" x14ac:dyDescent="0.25">
      <c r="A23" s="1" t="s">
        <v>44</v>
      </c>
      <c r="B23" t="s">
        <v>45</v>
      </c>
      <c r="C23" s="2">
        <v>41096</v>
      </c>
      <c r="D23" s="1" t="s">
        <v>46</v>
      </c>
      <c r="E23" s="1" t="s">
        <v>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E3C84-1D82-4CCB-951E-02600F60EE85}">
  <sheetPr>
    <tabColor rgb="FFFFFF00"/>
  </sheetPr>
  <dimension ref="A1:J35"/>
  <sheetViews>
    <sheetView zoomScale="80" zoomScaleNormal="80" workbookViewId="0">
      <pane ySplit="1" topLeftCell="A2" activePane="bottomLeft" state="frozen"/>
      <selection activeCell="B1" sqref="B1"/>
      <selection pane="bottomLeft" activeCell="L14" sqref="L14"/>
    </sheetView>
  </sheetViews>
  <sheetFormatPr defaultRowHeight="15" x14ac:dyDescent="0.25"/>
  <cols>
    <col min="1" max="1" width="4.7109375" style="1" customWidth="1"/>
    <col min="2" max="2" width="15" style="1" customWidth="1"/>
    <col min="3" max="3" width="40.5703125" customWidth="1"/>
    <col min="4" max="4" width="9.140625" style="1" customWidth="1"/>
    <col min="5" max="5" width="22.140625" style="3" customWidth="1"/>
    <col min="6" max="6" width="20.5703125" style="3" customWidth="1"/>
    <col min="7" max="7" width="22" style="3" customWidth="1"/>
    <col min="8" max="8" width="23.85546875" style="3" customWidth="1"/>
    <col min="9" max="9" width="24.28515625" style="3" customWidth="1"/>
    <col min="10" max="10" width="16.85546875" style="3" customWidth="1"/>
    <col min="11" max="11" width="13.85546875" customWidth="1"/>
    <col min="12" max="14" width="18.42578125" customWidth="1"/>
  </cols>
  <sheetData>
    <row r="1" spans="1:10" x14ac:dyDescent="0.25">
      <c r="A1" s="1" t="s">
        <v>52</v>
      </c>
      <c r="B1" s="1" t="s">
        <v>2</v>
      </c>
      <c r="C1" s="1" t="s">
        <v>0</v>
      </c>
      <c r="D1" s="1" t="s">
        <v>49</v>
      </c>
      <c r="E1" s="3" t="s">
        <v>50</v>
      </c>
      <c r="F1" s="3" t="s">
        <v>51</v>
      </c>
      <c r="G1" s="3" t="s">
        <v>70</v>
      </c>
      <c r="H1" s="3" t="s">
        <v>71</v>
      </c>
      <c r="I1" s="3" t="s">
        <v>75</v>
      </c>
      <c r="J1" s="3" t="s">
        <v>74</v>
      </c>
    </row>
    <row r="2" spans="1:10" x14ac:dyDescent="0.25">
      <c r="A2" s="5" t="s">
        <v>53</v>
      </c>
      <c r="B2" s="5" t="s">
        <v>3</v>
      </c>
      <c r="C2" s="6" t="s">
        <v>5</v>
      </c>
      <c r="D2" s="1">
        <v>2017</v>
      </c>
      <c r="E2" s="3">
        <f>4091627000*14000</f>
        <v>57282778000000</v>
      </c>
      <c r="F2" s="3">
        <f>80000000000+31985962000</f>
        <v>111985962000</v>
      </c>
      <c r="G2" s="3">
        <f>536438000*14000</f>
        <v>7510132000000</v>
      </c>
      <c r="H2" s="3">
        <f>6814147000*14000</f>
        <v>95398058000000</v>
      </c>
      <c r="I2" s="3">
        <f>2722520000*14000</f>
        <v>38115280000000</v>
      </c>
      <c r="J2" s="3">
        <f>68*14000</f>
        <v>952000</v>
      </c>
    </row>
    <row r="3" spans="1:10" x14ac:dyDescent="0.25">
      <c r="A3" s="5"/>
      <c r="B3" s="5"/>
      <c r="C3" s="6"/>
      <c r="D3" s="1">
        <v>2018</v>
      </c>
      <c r="E3" s="3">
        <f>4302692000*14000</f>
        <v>60237688000000</v>
      </c>
      <c r="F3" s="3">
        <f>F2</f>
        <v>111985962000</v>
      </c>
      <c r="G3" s="3">
        <f>477541000*14000</f>
        <v>6685574000000</v>
      </c>
      <c r="H3" s="3">
        <f>7060755000*14000</f>
        <v>98850570000000</v>
      </c>
      <c r="I3" s="3">
        <f>2758063000*14000</f>
        <v>38612882000000</v>
      </c>
      <c r="J3" s="3">
        <f>66*14000</f>
        <v>924000</v>
      </c>
    </row>
    <row r="4" spans="1:10" x14ac:dyDescent="0.25">
      <c r="A4" s="5" t="s">
        <v>54</v>
      </c>
      <c r="B4" s="5" t="s">
        <v>4</v>
      </c>
      <c r="C4" s="6" t="s">
        <v>6</v>
      </c>
      <c r="D4" s="1">
        <v>2017</v>
      </c>
      <c r="E4" s="3">
        <f>39765000*14000</f>
        <v>556710000000</v>
      </c>
      <c r="F4" s="3">
        <f>4180000000+3000000000</f>
        <v>7180000000</v>
      </c>
      <c r="G4" s="3">
        <f>-16717000*14000</f>
        <v>-234038000000</v>
      </c>
      <c r="H4" s="3">
        <f>327055000*14000</f>
        <v>4578770000000</v>
      </c>
      <c r="I4" s="3">
        <f>287290000*14000</f>
        <v>4022060000000</v>
      </c>
      <c r="J4" s="3">
        <f>155*14000</f>
        <v>2170000</v>
      </c>
    </row>
    <row r="5" spans="1:10" x14ac:dyDescent="0.25">
      <c r="A5" s="5"/>
      <c r="B5" s="5"/>
      <c r="C5" s="6"/>
      <c r="D5" s="1">
        <v>2018</v>
      </c>
      <c r="E5" s="3">
        <f>9986000*14000</f>
        <v>139804000000</v>
      </c>
      <c r="F5" s="3">
        <f>4180000000+3000000000</f>
        <v>7180000000</v>
      </c>
      <c r="G5" s="3">
        <f>-28258000*14000</f>
        <v>-395612000000</v>
      </c>
      <c r="H5" s="3">
        <f>350065000*14000</f>
        <v>4900910000000</v>
      </c>
      <c r="I5" s="3">
        <f>340079000*14000</f>
        <v>4761106000000</v>
      </c>
      <c r="J5" s="3">
        <f>111*14000</f>
        <v>1554000</v>
      </c>
    </row>
    <row r="6" spans="1:10" x14ac:dyDescent="0.25">
      <c r="A6" s="5" t="s">
        <v>55</v>
      </c>
      <c r="B6" s="5" t="s">
        <v>9</v>
      </c>
      <c r="C6" s="6" t="s">
        <v>17</v>
      </c>
      <c r="D6" s="1">
        <v>2017</v>
      </c>
      <c r="E6" s="3">
        <f>149890675*14000</f>
        <v>2098469450000</v>
      </c>
      <c r="F6" s="3">
        <v>11616500000</v>
      </c>
      <c r="G6" s="3">
        <f>82816929*14000</f>
        <v>1159437006000</v>
      </c>
      <c r="H6" s="3">
        <f>210137454*14000</f>
        <v>2941924356000</v>
      </c>
      <c r="I6" s="3">
        <f>60246779*14000</f>
        <v>843454906000</v>
      </c>
      <c r="J6" s="3">
        <v>42370</v>
      </c>
    </row>
    <row r="7" spans="1:10" x14ac:dyDescent="0.25">
      <c r="A7" s="5"/>
      <c r="B7" s="5"/>
      <c r="C7" s="6"/>
      <c r="D7" s="1">
        <v>2018</v>
      </c>
      <c r="E7" s="3">
        <f>150278353*14000</f>
        <v>2103896942000</v>
      </c>
      <c r="F7" s="3">
        <f>F6</f>
        <v>11616500000</v>
      </c>
      <c r="G7" s="3">
        <f>69063191*14000</f>
        <v>966884674000</v>
      </c>
      <c r="H7" s="3">
        <f>245100202*14000</f>
        <v>3431402828000</v>
      </c>
      <c r="I7" s="3">
        <f>94820865*14000</f>
        <v>1327492110000</v>
      </c>
      <c r="J7" s="3">
        <v>20234</v>
      </c>
    </row>
    <row r="8" spans="1:10" x14ac:dyDescent="0.25">
      <c r="A8" s="5" t="s">
        <v>56</v>
      </c>
      <c r="B8" s="5" t="s">
        <v>10</v>
      </c>
      <c r="C8" s="6" t="s">
        <v>18</v>
      </c>
      <c r="D8" s="1">
        <v>2017</v>
      </c>
      <c r="E8" s="3">
        <f>286351002*14000</f>
        <v>4008914028000</v>
      </c>
      <c r="F8" s="3">
        <f>304406400000+65376556624+36627020427</f>
        <v>406409977051</v>
      </c>
      <c r="G8" s="3">
        <f>242746183*14000</f>
        <v>3398446562000</v>
      </c>
      <c r="H8" s="3">
        <f>3696498624*14000</f>
        <v>51750980736000</v>
      </c>
      <c r="I8" s="3">
        <f>3410147622*14000</f>
        <v>47742066708000</v>
      </c>
      <c r="J8" s="3">
        <f>92519</f>
        <v>92519</v>
      </c>
    </row>
    <row r="9" spans="1:10" x14ac:dyDescent="0.25">
      <c r="A9" s="5"/>
      <c r="B9" s="5"/>
      <c r="C9" s="6"/>
      <c r="D9" s="1">
        <v>2018</v>
      </c>
      <c r="E9" s="3">
        <f>503611841*14000</f>
        <v>7050565774000</v>
      </c>
      <c r="F9" s="3">
        <f>304406400000+65475927488+65376556624</f>
        <v>435258884112</v>
      </c>
      <c r="G9" s="3">
        <f>158218349*14000</f>
        <v>2215056886000</v>
      </c>
      <c r="H9" s="3">
        <f>3906773939*14000</f>
        <v>54694835146000</v>
      </c>
      <c r="I9" s="3">
        <f>3403162098*14000</f>
        <v>47644269372000</v>
      </c>
      <c r="J9" s="3">
        <f>119791</f>
        <v>119791</v>
      </c>
    </row>
    <row r="10" spans="1:10" x14ac:dyDescent="0.25">
      <c r="A10" s="5" t="s">
        <v>57</v>
      </c>
      <c r="B10" s="5" t="s">
        <v>11</v>
      </c>
      <c r="C10" s="6" t="s">
        <v>19</v>
      </c>
      <c r="D10" s="1">
        <v>2017</v>
      </c>
      <c r="E10" s="3">
        <f>515603819*14000</f>
        <v>7218453466000</v>
      </c>
      <c r="F10" s="3">
        <f>12000000000+3333333500</f>
        <v>15333333500</v>
      </c>
      <c r="G10" s="3">
        <f>338017199*14000</f>
        <v>4732240786000</v>
      </c>
      <c r="H10" s="3">
        <f>888813140*14000</f>
        <v>12443383960000</v>
      </c>
      <c r="I10" s="3">
        <f>373209321*14000</f>
        <v>5224930494000</v>
      </c>
      <c r="J10" s="3">
        <v>1758642</v>
      </c>
    </row>
    <row r="11" spans="1:10" x14ac:dyDescent="0.25">
      <c r="A11" s="5"/>
      <c r="B11" s="5"/>
      <c r="C11" s="6"/>
      <c r="D11" s="1">
        <v>2018</v>
      </c>
      <c r="E11" s="3">
        <f>678070334*14000</f>
        <v>9492984676000</v>
      </c>
      <c r="F11" s="3">
        <f>F10</f>
        <v>15333333500</v>
      </c>
      <c r="G11" s="3">
        <f>624309273*14000</f>
        <v>8740329822000</v>
      </c>
      <c r="H11" s="3">
        <f>1150863891*14000</f>
        <v>16112094474000</v>
      </c>
      <c r="I11" s="3">
        <f>472793557*14000</f>
        <v>6619109798000</v>
      </c>
      <c r="J11" s="3">
        <v>1284342</v>
      </c>
    </row>
    <row r="12" spans="1:10" x14ac:dyDescent="0.25">
      <c r="A12" s="5" t="s">
        <v>58</v>
      </c>
      <c r="B12" s="5" t="s">
        <v>13</v>
      </c>
      <c r="C12" s="6" t="s">
        <v>21</v>
      </c>
      <c r="D12" s="1">
        <v>2017</v>
      </c>
      <c r="E12" s="3">
        <f>177167976*14000</f>
        <v>2480351664000</v>
      </c>
      <c r="F12" s="3">
        <f>27000000000+8553342132</f>
        <v>35553342132</v>
      </c>
      <c r="G12" s="3">
        <f>46747301*14000</f>
        <v>654462214000</v>
      </c>
      <c r="H12" s="3">
        <f>945581412*14000</f>
        <v>13238139768000</v>
      </c>
      <c r="I12" s="3">
        <f>768413436*14000</f>
        <v>10757788104000</v>
      </c>
      <c r="J12" s="3">
        <v>1693037</v>
      </c>
    </row>
    <row r="13" spans="1:10" x14ac:dyDescent="0.25">
      <c r="A13" s="5"/>
      <c r="B13" s="5"/>
      <c r="C13" s="6"/>
      <c r="D13" s="1">
        <v>2018</v>
      </c>
      <c r="E13" s="3">
        <f>261511009*14000</f>
        <v>3661154126000</v>
      </c>
      <c r="F13" s="3">
        <f>27000000000+8611686432</f>
        <v>35611686432</v>
      </c>
      <c r="G13" s="3">
        <f>75643300*14000</f>
        <v>1059006200000</v>
      </c>
      <c r="H13" s="3">
        <f>1184094711*14000</f>
        <v>16577325954000</v>
      </c>
      <c r="I13" s="3">
        <f>922583702*14000</f>
        <v>12916171828000</v>
      </c>
      <c r="J13" s="3">
        <v>1731070</v>
      </c>
    </row>
    <row r="14" spans="1:10" x14ac:dyDescent="0.25">
      <c r="A14" s="5" t="s">
        <v>59</v>
      </c>
      <c r="B14" s="5" t="s">
        <v>14</v>
      </c>
      <c r="C14" s="6" t="s">
        <v>22</v>
      </c>
      <c r="D14" s="1">
        <v>2017</v>
      </c>
      <c r="E14" s="3">
        <v>224495481967</v>
      </c>
      <c r="F14" s="3">
        <f>4000000000+1303440681</f>
        <v>5303440681</v>
      </c>
      <c r="G14" s="3">
        <v>-1054199573</v>
      </c>
      <c r="H14" s="3">
        <v>457422862654</v>
      </c>
      <c r="I14" s="3">
        <v>232927380687</v>
      </c>
      <c r="J14" s="3">
        <v>94625469</v>
      </c>
    </row>
    <row r="15" spans="1:10" x14ac:dyDescent="0.25">
      <c r="A15" s="5"/>
      <c r="B15" s="5"/>
      <c r="C15" s="6"/>
      <c r="D15" s="1">
        <v>2018</v>
      </c>
      <c r="E15" s="3">
        <v>323237568459</v>
      </c>
      <c r="F15" s="3">
        <f>4000000000+1465783780</f>
        <v>5465783780</v>
      </c>
      <c r="G15" s="3">
        <v>-2940784633</v>
      </c>
      <c r="H15" s="3">
        <v>573239122900</v>
      </c>
      <c r="I15" s="3">
        <v>250001554441</v>
      </c>
      <c r="J15" s="3">
        <v>200604769</v>
      </c>
    </row>
    <row r="16" spans="1:10" x14ac:dyDescent="0.25">
      <c r="A16" s="5" t="s">
        <v>60</v>
      </c>
      <c r="B16" s="5" t="s">
        <v>23</v>
      </c>
      <c r="C16" s="6" t="s">
        <v>32</v>
      </c>
      <c r="D16" s="1">
        <v>2017</v>
      </c>
      <c r="E16" s="3">
        <f>292218111*14000</f>
        <v>4091053554000</v>
      </c>
      <c r="F16" s="3">
        <f>20000000000+5882353000</f>
        <v>25882353000</v>
      </c>
      <c r="G16" s="3">
        <f>120106040*14000</f>
        <v>1681484560000</v>
      </c>
      <c r="H16" s="3">
        <f>590469384*14000</f>
        <v>8266571376000</v>
      </c>
      <c r="I16" s="3">
        <f>298251273*14000</f>
        <v>4175517822000</v>
      </c>
      <c r="J16" s="3">
        <v>99435</v>
      </c>
    </row>
    <row r="17" spans="1:10" x14ac:dyDescent="0.25">
      <c r="A17" s="5"/>
      <c r="B17" s="5"/>
      <c r="C17" s="6"/>
      <c r="D17" s="1">
        <v>2018</v>
      </c>
      <c r="E17" s="3">
        <f>315812916*14000</f>
        <v>4421380824000</v>
      </c>
      <c r="F17" s="3">
        <f>F16</f>
        <v>25882353000</v>
      </c>
      <c r="G17" s="3">
        <f>100548578*14000</f>
        <v>1407680092000</v>
      </c>
      <c r="H17" s="3">
        <f>701046630*14000</f>
        <v>9814652820000</v>
      </c>
      <c r="I17" s="3">
        <f>385233714*14000</f>
        <v>5393271996000</v>
      </c>
      <c r="J17" s="3">
        <v>121337</v>
      </c>
    </row>
    <row r="18" spans="1:10" x14ac:dyDescent="0.25">
      <c r="A18" s="5" t="s">
        <v>61</v>
      </c>
      <c r="B18" s="5" t="s">
        <v>25</v>
      </c>
      <c r="C18" s="6" t="s">
        <v>34</v>
      </c>
      <c r="D18" s="1">
        <v>2017</v>
      </c>
      <c r="E18" s="4">
        <f>395860722*14000</f>
        <v>5542050108000</v>
      </c>
      <c r="F18" s="3">
        <f>10000000000+2703620000</f>
        <v>12703620000</v>
      </c>
      <c r="G18" s="3">
        <f>73030968*14000</f>
        <v>1022433552000</v>
      </c>
      <c r="H18" s="3">
        <f>459443071*14000</f>
        <v>6432202994000</v>
      </c>
      <c r="I18" s="3">
        <f>63582349*14000</f>
        <v>890152886000</v>
      </c>
      <c r="J18" s="3">
        <v>1189086</v>
      </c>
    </row>
    <row r="19" spans="1:10" x14ac:dyDescent="0.25">
      <c r="A19" s="5"/>
      <c r="B19" s="5"/>
      <c r="C19" s="6"/>
      <c r="D19" s="1">
        <v>2018</v>
      </c>
      <c r="E19" s="3">
        <f>388486791*14000</f>
        <v>5438815074000</v>
      </c>
      <c r="F19" s="3">
        <f>F18</f>
        <v>12703620000</v>
      </c>
      <c r="G19" s="3">
        <f>40205422*14000</f>
        <v>562875908000</v>
      </c>
      <c r="H19" s="3">
        <f>467989195*14000</f>
        <v>6551848730000</v>
      </c>
      <c r="I19" s="3">
        <f>79502404*14000</f>
        <v>1113033656000</v>
      </c>
      <c r="J19" s="3">
        <v>1099270</v>
      </c>
    </row>
    <row r="20" spans="1:10" x14ac:dyDescent="0.25">
      <c r="A20" s="5" t="s">
        <v>62</v>
      </c>
      <c r="B20" s="5" t="s">
        <v>26</v>
      </c>
      <c r="C20" s="6" t="s">
        <v>35</v>
      </c>
      <c r="D20" s="1">
        <v>2017</v>
      </c>
      <c r="E20" s="3">
        <f>958139*14000</f>
        <v>13413946000</v>
      </c>
      <c r="F20" s="3">
        <f>3000000000+1129925000</f>
        <v>4129925000</v>
      </c>
      <c r="G20" s="3">
        <f>252703*14000</f>
        <v>3537842000</v>
      </c>
      <c r="H20" s="3">
        <f>1358663*14000</f>
        <v>19021282000</v>
      </c>
      <c r="I20" s="3">
        <f>400524*14000</f>
        <v>5607336000</v>
      </c>
      <c r="J20" s="3">
        <v>514</v>
      </c>
    </row>
    <row r="21" spans="1:10" x14ac:dyDescent="0.25">
      <c r="A21" s="5"/>
      <c r="B21" s="5"/>
      <c r="C21" s="6"/>
      <c r="D21" s="1">
        <v>2018</v>
      </c>
      <c r="E21" s="3">
        <f>969783*14000</f>
        <v>13576962000</v>
      </c>
      <c r="F21" s="3">
        <f>F20</f>
        <v>4129925000</v>
      </c>
      <c r="G21" s="3">
        <f>258756*14000</f>
        <v>3622584000</v>
      </c>
      <c r="H21" s="3">
        <f>1442728*14000</f>
        <v>20198192000</v>
      </c>
      <c r="I21" s="3">
        <f>472945*14000</f>
        <v>6621230000</v>
      </c>
      <c r="J21" s="3">
        <v>491</v>
      </c>
    </row>
    <row r="22" spans="1:10" x14ac:dyDescent="0.25">
      <c r="A22" s="5" t="s">
        <v>63</v>
      </c>
      <c r="B22" s="5" t="s">
        <v>28</v>
      </c>
      <c r="C22" s="6" t="s">
        <v>37</v>
      </c>
      <c r="D22" s="1">
        <v>2017</v>
      </c>
      <c r="E22" s="3">
        <f>122304341*14000</f>
        <v>1712260774000</v>
      </c>
      <c r="F22" s="3">
        <f>3900000000+1227271952</f>
        <v>5127271952</v>
      </c>
      <c r="G22" s="3">
        <f>58635700*14000</f>
        <v>820899800000</v>
      </c>
      <c r="H22" s="3">
        <f>160778962*14000</f>
        <v>2250905468000</v>
      </c>
      <c r="I22" s="3">
        <f>38474621*14000</f>
        <v>538644694000</v>
      </c>
      <c r="J22" s="3">
        <v>119623</v>
      </c>
    </row>
    <row r="23" spans="1:10" x14ac:dyDescent="0.25">
      <c r="A23" s="5"/>
      <c r="B23" s="5"/>
      <c r="C23" s="6"/>
      <c r="D23" s="1">
        <v>2018</v>
      </c>
      <c r="E23" s="3">
        <f>124181254*14000</f>
        <v>1738537556000</v>
      </c>
      <c r="F23" s="3">
        <f>F22</f>
        <v>5127271952</v>
      </c>
      <c r="G23" s="3">
        <f>50310702*14000</f>
        <v>704349828000</v>
      </c>
      <c r="H23" s="3">
        <f>173509262*14000</f>
        <v>2429129668000</v>
      </c>
      <c r="I23" s="3">
        <f>49328008*14000</f>
        <v>690592112000</v>
      </c>
      <c r="J23" s="3">
        <v>164958</v>
      </c>
    </row>
    <row r="24" spans="1:10" x14ac:dyDescent="0.25">
      <c r="A24" s="5" t="s">
        <v>64</v>
      </c>
      <c r="B24" s="5" t="s">
        <v>29</v>
      </c>
      <c r="C24" s="6" t="s">
        <v>38</v>
      </c>
      <c r="D24" s="1">
        <v>2017</v>
      </c>
      <c r="E24" s="3">
        <f>102541343*14000</f>
        <v>1435578802000</v>
      </c>
      <c r="F24" s="3">
        <f>5500000000+2206312500</f>
        <v>7706312500</v>
      </c>
      <c r="G24" s="3">
        <f>12306356*14000</f>
        <v>172288984000</v>
      </c>
      <c r="H24" s="3">
        <f>136067975*14000</f>
        <v>1904951650000</v>
      </c>
      <c r="I24" s="3">
        <f>33526632*14000</f>
        <v>469372848000</v>
      </c>
      <c r="J24" s="3">
        <v>88209</v>
      </c>
    </row>
    <row r="25" spans="1:10" x14ac:dyDescent="0.25">
      <c r="A25" s="5"/>
      <c r="B25" s="5"/>
      <c r="C25" s="6"/>
      <c r="D25" s="1">
        <v>2018</v>
      </c>
      <c r="E25" s="3">
        <f>113987735*14000</f>
        <v>1595828290000</v>
      </c>
      <c r="F25" s="3">
        <f>5500000000+2206312500</f>
        <v>7706312500</v>
      </c>
      <c r="G25" s="3">
        <f>30928664*14000</f>
        <v>433001296000</v>
      </c>
      <c r="H25" s="3">
        <f>151326098*14000</f>
        <v>2118565372000</v>
      </c>
      <c r="I25" s="3">
        <f>37338363*14000</f>
        <v>522737082000</v>
      </c>
      <c r="J25" s="3">
        <v>64987</v>
      </c>
    </row>
    <row r="26" spans="1:10" x14ac:dyDescent="0.25">
      <c r="A26" s="5" t="s">
        <v>65</v>
      </c>
      <c r="B26" s="5" t="s">
        <v>30</v>
      </c>
      <c r="C26" s="6" t="s">
        <v>39</v>
      </c>
      <c r="D26" s="1">
        <v>2017</v>
      </c>
      <c r="E26" s="3">
        <v>59323036000</v>
      </c>
      <c r="F26" s="3">
        <v>1200000000</v>
      </c>
      <c r="G26" s="3">
        <v>-10440092000</v>
      </c>
      <c r="H26" s="3">
        <v>137363302000</v>
      </c>
      <c r="I26" s="3">
        <f>3066607000+74973659000</f>
        <v>78040266000</v>
      </c>
      <c r="J26" s="3">
        <v>291628</v>
      </c>
    </row>
    <row r="27" spans="1:10" x14ac:dyDescent="0.25">
      <c r="A27" s="5"/>
      <c r="B27" s="5"/>
      <c r="C27" s="6"/>
      <c r="D27" s="1">
        <v>2018</v>
      </c>
      <c r="E27" s="3">
        <v>55578753000</v>
      </c>
      <c r="F27" s="3">
        <v>1200000000</v>
      </c>
      <c r="G27" s="3">
        <v>-3829849000</v>
      </c>
      <c r="H27" s="3">
        <f>127894510000</f>
        <v>127894510000</v>
      </c>
      <c r="I27" s="3">
        <f>329996000+71985761000</f>
        <v>72315757000</v>
      </c>
      <c r="J27" s="3">
        <v>39295</v>
      </c>
    </row>
    <row r="28" spans="1:10" x14ac:dyDescent="0.25">
      <c r="A28" s="5" t="s">
        <v>66</v>
      </c>
      <c r="B28" s="5" t="s">
        <v>31</v>
      </c>
      <c r="C28" s="6" t="s">
        <v>40</v>
      </c>
      <c r="D28" s="1">
        <v>2017</v>
      </c>
      <c r="E28" s="3">
        <v>13799985000000</v>
      </c>
      <c r="F28" s="3">
        <f>39999999995+7999999999</f>
        <v>47999999994</v>
      </c>
      <c r="G28" s="3">
        <v>4547232000000</v>
      </c>
      <c r="H28" s="3">
        <v>21987482000000</v>
      </c>
      <c r="I28" s="3">
        <v>8187497000000</v>
      </c>
      <c r="J28" s="3">
        <v>521000000</v>
      </c>
    </row>
    <row r="29" spans="1:10" x14ac:dyDescent="0.25">
      <c r="A29" s="5"/>
      <c r="B29" s="5"/>
      <c r="C29" s="6"/>
      <c r="D29" s="1">
        <v>2018</v>
      </c>
      <c r="E29" s="3">
        <v>16269969000000</v>
      </c>
      <c r="F29" s="3">
        <f>39999999995+11520659245</f>
        <v>51520659240</v>
      </c>
      <c r="G29" s="3">
        <v>5121112000000</v>
      </c>
      <c r="H29" s="3">
        <v>24172933000000</v>
      </c>
      <c r="I29" s="3">
        <v>7903237000000</v>
      </c>
      <c r="J29" s="3">
        <v>581000000</v>
      </c>
    </row>
    <row r="30" spans="1:10" x14ac:dyDescent="0.25">
      <c r="A30" s="5" t="s">
        <v>67</v>
      </c>
      <c r="B30" s="5" t="s">
        <v>48</v>
      </c>
      <c r="C30" s="6" t="s">
        <v>41</v>
      </c>
      <c r="D30" s="1">
        <v>2017</v>
      </c>
      <c r="E30" s="3">
        <f>178535000*14000</f>
        <v>2499490000000</v>
      </c>
      <c r="F30" s="3">
        <f>4034420000+1008605000</f>
        <v>5043025000</v>
      </c>
      <c r="G30" s="3">
        <f>8311000*14000</f>
        <v>116354000000</v>
      </c>
      <c r="H30" s="3">
        <f>436844000*14000</f>
        <v>6115816000000</v>
      </c>
      <c r="I30" s="3">
        <f>258309000*14000</f>
        <v>3616326000000</v>
      </c>
      <c r="J30" s="3">
        <f>48*14000</f>
        <v>672000</v>
      </c>
    </row>
    <row r="31" spans="1:10" x14ac:dyDescent="0.25">
      <c r="A31" s="5"/>
      <c r="B31" s="5"/>
      <c r="C31" s="6"/>
      <c r="D31" s="1">
        <v>2018</v>
      </c>
      <c r="E31" s="3">
        <f>191132000*14000</f>
        <v>2675848000000</v>
      </c>
      <c r="F31" s="3">
        <f>F30</f>
        <v>5043025000</v>
      </c>
      <c r="G31" s="3">
        <f>23166000*14000</f>
        <v>324324000000</v>
      </c>
      <c r="H31" s="3">
        <f>555591000*14000</f>
        <v>7778274000000</v>
      </c>
      <c r="I31" s="3">
        <f>364459000*14000</f>
        <v>5102426000000</v>
      </c>
      <c r="J31" s="3">
        <f>39*14000</f>
        <v>546000</v>
      </c>
    </row>
    <row r="32" spans="1:10" x14ac:dyDescent="0.25">
      <c r="A32" s="5" t="s">
        <v>68</v>
      </c>
      <c r="B32" s="5" t="s">
        <v>42</v>
      </c>
      <c r="C32" s="6" t="s">
        <v>43</v>
      </c>
      <c r="D32" s="1">
        <v>2017</v>
      </c>
      <c r="E32" s="3">
        <v>419360249695</v>
      </c>
      <c r="F32" s="3">
        <f>3600000000+3150000000</f>
        <v>6750000000</v>
      </c>
      <c r="G32" s="3">
        <v>40078001432</v>
      </c>
      <c r="H32" s="3">
        <v>725663914382</v>
      </c>
      <c r="I32" s="3">
        <v>306303664687</v>
      </c>
      <c r="J32" s="3">
        <v>98210000</v>
      </c>
    </row>
    <row r="33" spans="1:10" x14ac:dyDescent="0.25">
      <c r="A33" s="5"/>
      <c r="B33" s="5"/>
      <c r="C33" s="6"/>
      <c r="D33" s="1">
        <v>2018</v>
      </c>
      <c r="E33" s="3">
        <v>489534966943</v>
      </c>
      <c r="F33" s="3">
        <f>F32</f>
        <v>6750000000</v>
      </c>
      <c r="G33" s="3">
        <v>84584567691</v>
      </c>
      <c r="H33" s="3">
        <v>831965937268</v>
      </c>
      <c r="I33" s="3">
        <v>342430970325</v>
      </c>
      <c r="J33" s="3">
        <v>67250000</v>
      </c>
    </row>
    <row r="34" spans="1:10" x14ac:dyDescent="0.25">
      <c r="A34" s="5" t="s">
        <v>69</v>
      </c>
      <c r="B34" s="5" t="s">
        <v>44</v>
      </c>
      <c r="C34" s="6" t="s">
        <v>45</v>
      </c>
      <c r="D34" s="1">
        <v>2017</v>
      </c>
      <c r="E34" s="3">
        <f>174799423*14000</f>
        <v>2447191922000</v>
      </c>
      <c r="F34" s="3">
        <f>6000000000+2012491000</f>
        <v>8012491000</v>
      </c>
      <c r="G34" s="3">
        <f>41369891*14000</f>
        <v>579178474000</v>
      </c>
      <c r="H34" s="3">
        <f>348338028*14000</f>
        <v>4876732392000</v>
      </c>
      <c r="I34" s="3">
        <f>173538605*14000</f>
        <v>2429540470000</v>
      </c>
      <c r="J34" s="3">
        <v>13411</v>
      </c>
    </row>
    <row r="35" spans="1:10" x14ac:dyDescent="0.25">
      <c r="A35" s="5"/>
      <c r="B35" s="5"/>
      <c r="C35" s="6"/>
      <c r="D35" s="1">
        <v>2018</v>
      </c>
      <c r="E35" s="3">
        <f>215623872*14000</f>
        <v>3018734208000</v>
      </c>
      <c r="F35" s="3">
        <f>6000000000+2012491000</f>
        <v>8012491000</v>
      </c>
      <c r="G35" s="3">
        <f>68089796*14000</f>
        <v>953257144000</v>
      </c>
      <c r="H35" s="3">
        <f>501883194*14000</f>
        <v>7026364716000</v>
      </c>
      <c r="I35" s="3">
        <f>286259322*14000</f>
        <v>4007630508000</v>
      </c>
      <c r="J35" s="3">
        <v>13758</v>
      </c>
    </row>
  </sheetData>
  <mergeCells count="51">
    <mergeCell ref="A34:A35"/>
    <mergeCell ref="B34:B35"/>
    <mergeCell ref="C34:C35"/>
    <mergeCell ref="A30:A31"/>
    <mergeCell ref="B30:B31"/>
    <mergeCell ref="C30:C31"/>
    <mergeCell ref="A32:A33"/>
    <mergeCell ref="B32:B33"/>
    <mergeCell ref="C32:C33"/>
    <mergeCell ref="A26:A27"/>
    <mergeCell ref="B26:B27"/>
    <mergeCell ref="C26:C27"/>
    <mergeCell ref="A28:A29"/>
    <mergeCell ref="B28:B29"/>
    <mergeCell ref="C28:C29"/>
    <mergeCell ref="A22:A23"/>
    <mergeCell ref="B22:B23"/>
    <mergeCell ref="C22:C23"/>
    <mergeCell ref="A24:A25"/>
    <mergeCell ref="B24:B25"/>
    <mergeCell ref="C24:C25"/>
    <mergeCell ref="A18:A19"/>
    <mergeCell ref="B18:B19"/>
    <mergeCell ref="C18:C19"/>
    <mergeCell ref="A20:A21"/>
    <mergeCell ref="B20:B21"/>
    <mergeCell ref="C20:C21"/>
    <mergeCell ref="A14:A15"/>
    <mergeCell ref="B14:B15"/>
    <mergeCell ref="C14:C15"/>
    <mergeCell ref="A16:A17"/>
    <mergeCell ref="B16:B17"/>
    <mergeCell ref="C16:C17"/>
    <mergeCell ref="A10:A11"/>
    <mergeCell ref="B10:B11"/>
    <mergeCell ref="C10:C11"/>
    <mergeCell ref="A12:A13"/>
    <mergeCell ref="B12:B13"/>
    <mergeCell ref="C12:C13"/>
    <mergeCell ref="A6:A7"/>
    <mergeCell ref="B6:B7"/>
    <mergeCell ref="C6:C7"/>
    <mergeCell ref="A8:A9"/>
    <mergeCell ref="B8:B9"/>
    <mergeCell ref="C8:C9"/>
    <mergeCell ref="A2:A3"/>
    <mergeCell ref="B2:B3"/>
    <mergeCell ref="C2:C3"/>
    <mergeCell ref="A4:A5"/>
    <mergeCell ref="B4:B5"/>
    <mergeCell ref="C4:C5"/>
  </mergeCells>
  <pageMargins left="0.7" right="0.7" top="0.75" bottom="0.75" header="0.3" footer="0.3"/>
  <pageSetup orientation="portrait" r:id="rId1"/>
  <ignoredErrors>
    <ignoredError sqref="F18 F20 F22 F3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F2D0F-F27E-498E-8E63-06A5858B837C}">
  <dimension ref="A1:G35"/>
  <sheetViews>
    <sheetView topLeftCell="D1" workbookViewId="0">
      <selection activeCell="G1" sqref="G1:G1048576"/>
    </sheetView>
  </sheetViews>
  <sheetFormatPr defaultRowHeight="15" x14ac:dyDescent="0.25"/>
  <cols>
    <col min="1" max="1" width="4.7109375" style="1" customWidth="1"/>
    <col min="2" max="2" width="14.5703125" style="1" customWidth="1"/>
    <col min="3" max="3" width="40.5703125" customWidth="1"/>
    <col min="5" max="5" width="22.28515625" customWidth="1"/>
    <col min="6" max="6" width="21.5703125" customWidth="1"/>
    <col min="7" max="7" width="15.5703125" customWidth="1"/>
  </cols>
  <sheetData>
    <row r="1" spans="1:7" s="1" customFormat="1" x14ac:dyDescent="0.25">
      <c r="A1" s="1" t="s">
        <v>52</v>
      </c>
      <c r="B1" s="1" t="s">
        <v>2</v>
      </c>
      <c r="C1" s="1" t="s">
        <v>0</v>
      </c>
      <c r="D1" s="1" t="s">
        <v>49</v>
      </c>
      <c r="E1" s="1" t="s">
        <v>50</v>
      </c>
      <c r="F1" s="1" t="s">
        <v>51</v>
      </c>
      <c r="G1" s="1" t="s">
        <v>76</v>
      </c>
    </row>
    <row r="2" spans="1:7" x14ac:dyDescent="0.25">
      <c r="A2" s="5" t="s">
        <v>53</v>
      </c>
      <c r="B2" s="5" t="s">
        <v>3</v>
      </c>
      <c r="C2" s="6" t="s">
        <v>5</v>
      </c>
      <c r="D2">
        <v>2017</v>
      </c>
      <c r="E2" s="3">
        <f>4091627000*14000</f>
        <v>57282778000000</v>
      </c>
      <c r="F2" s="3">
        <f>80000000000+31985962000</f>
        <v>111985962000</v>
      </c>
      <c r="G2">
        <f>E2/F2</f>
        <v>511.51748823660591</v>
      </c>
    </row>
    <row r="3" spans="1:7" x14ac:dyDescent="0.25">
      <c r="A3" s="5"/>
      <c r="B3" s="5"/>
      <c r="C3" s="6"/>
      <c r="D3">
        <v>2018</v>
      </c>
      <c r="E3" s="3">
        <f>4302692000*14000</f>
        <v>60237688000000</v>
      </c>
      <c r="F3" s="3">
        <f>F2</f>
        <v>111985962000</v>
      </c>
      <c r="G3">
        <f t="shared" ref="G3:G35" si="0">E3/F3</f>
        <v>537.90392049317757</v>
      </c>
    </row>
    <row r="4" spans="1:7" x14ac:dyDescent="0.25">
      <c r="A4" s="5" t="s">
        <v>54</v>
      </c>
      <c r="B4" s="5" t="s">
        <v>4</v>
      </c>
      <c r="C4" s="6" t="s">
        <v>6</v>
      </c>
      <c r="D4">
        <v>2017</v>
      </c>
      <c r="E4" s="3">
        <f>39765000*14000</f>
        <v>556710000000</v>
      </c>
      <c r="F4" s="3">
        <f>4180000000+3000000000</f>
        <v>7180000000</v>
      </c>
      <c r="G4">
        <f t="shared" si="0"/>
        <v>77.53621169916434</v>
      </c>
    </row>
    <row r="5" spans="1:7" x14ac:dyDescent="0.25">
      <c r="A5" s="5"/>
      <c r="B5" s="5"/>
      <c r="C5" s="6"/>
      <c r="D5">
        <v>2018</v>
      </c>
      <c r="E5" s="3">
        <f>9986000*14000</f>
        <v>139804000000</v>
      </c>
      <c r="F5" s="3">
        <f>4180000000+3000000000</f>
        <v>7180000000</v>
      </c>
      <c r="G5">
        <f t="shared" si="0"/>
        <v>19.471309192200557</v>
      </c>
    </row>
    <row r="6" spans="1:7" x14ac:dyDescent="0.25">
      <c r="A6" s="5" t="s">
        <v>55</v>
      </c>
      <c r="B6" s="5" t="s">
        <v>9</v>
      </c>
      <c r="C6" s="6" t="s">
        <v>17</v>
      </c>
      <c r="D6">
        <v>2017</v>
      </c>
      <c r="E6" s="3">
        <f>149890675*14000</f>
        <v>2098469450000</v>
      </c>
      <c r="F6" s="3">
        <v>11616500000</v>
      </c>
      <c r="G6">
        <f t="shared" si="0"/>
        <v>180.64558601988551</v>
      </c>
    </row>
    <row r="7" spans="1:7" x14ac:dyDescent="0.25">
      <c r="A7" s="5"/>
      <c r="B7" s="5"/>
      <c r="C7" s="6"/>
      <c r="D7">
        <v>2018</v>
      </c>
      <c r="E7" s="3">
        <f>150278353*14000</f>
        <v>2103896942000</v>
      </c>
      <c r="F7" s="3">
        <f>F6</f>
        <v>11616500000</v>
      </c>
      <c r="G7">
        <f t="shared" si="0"/>
        <v>181.11280867731244</v>
      </c>
    </row>
    <row r="8" spans="1:7" x14ac:dyDescent="0.25">
      <c r="A8" s="5" t="s">
        <v>56</v>
      </c>
      <c r="B8" s="5" t="s">
        <v>10</v>
      </c>
      <c r="C8" s="6" t="s">
        <v>18</v>
      </c>
      <c r="D8">
        <v>2017</v>
      </c>
      <c r="E8" s="3">
        <f>286351002*14000</f>
        <v>4008914028000</v>
      </c>
      <c r="F8" s="3">
        <f>304406400000+65376556624+36627020427</f>
        <v>406409977051</v>
      </c>
      <c r="G8">
        <f t="shared" si="0"/>
        <v>9.8642116443340289</v>
      </c>
    </row>
    <row r="9" spans="1:7" x14ac:dyDescent="0.25">
      <c r="A9" s="5"/>
      <c r="B9" s="5"/>
      <c r="C9" s="6"/>
      <c r="D9">
        <v>2018</v>
      </c>
      <c r="E9" s="3">
        <f>503611841*14000</f>
        <v>7050565774000</v>
      </c>
      <c r="F9" s="3">
        <f>304406400000+65475927488+65376556624</f>
        <v>435258884112</v>
      </c>
      <c r="G9">
        <f t="shared" si="0"/>
        <v>16.198556839073643</v>
      </c>
    </row>
    <row r="10" spans="1:7" x14ac:dyDescent="0.25">
      <c r="A10" s="5" t="s">
        <v>57</v>
      </c>
      <c r="B10" s="5" t="s">
        <v>11</v>
      </c>
      <c r="C10" s="6" t="s">
        <v>19</v>
      </c>
      <c r="D10">
        <v>2017</v>
      </c>
      <c r="E10" s="3">
        <f>515603819*14000</f>
        <v>7218453466000</v>
      </c>
      <c r="F10" s="3">
        <f>12000000000+3333333500</f>
        <v>15333333500</v>
      </c>
      <c r="G10">
        <f t="shared" si="0"/>
        <v>470.76869918729676</v>
      </c>
    </row>
    <row r="11" spans="1:7" x14ac:dyDescent="0.25">
      <c r="A11" s="5"/>
      <c r="B11" s="5"/>
      <c r="C11" s="6"/>
      <c r="D11">
        <v>2018</v>
      </c>
      <c r="E11" s="3">
        <f>678070334*14000</f>
        <v>9492984676000</v>
      </c>
      <c r="F11" s="3">
        <f>F10</f>
        <v>15333333500</v>
      </c>
      <c r="G11">
        <f t="shared" si="0"/>
        <v>619.10768953143815</v>
      </c>
    </row>
    <row r="12" spans="1:7" x14ac:dyDescent="0.25">
      <c r="A12" s="5" t="s">
        <v>58</v>
      </c>
      <c r="B12" s="5" t="s">
        <v>13</v>
      </c>
      <c r="C12" s="6" t="s">
        <v>21</v>
      </c>
      <c r="D12">
        <v>2017</v>
      </c>
      <c r="E12" s="3">
        <f>177167976*14000</f>
        <v>2480351664000</v>
      </c>
      <c r="F12" s="3">
        <f>27000000000+8553342132</f>
        <v>35553342132</v>
      </c>
      <c r="G12">
        <f t="shared" si="0"/>
        <v>69.764233550565265</v>
      </c>
    </row>
    <row r="13" spans="1:7" x14ac:dyDescent="0.25">
      <c r="A13" s="5"/>
      <c r="B13" s="5"/>
      <c r="C13" s="6"/>
      <c r="D13">
        <v>2018</v>
      </c>
      <c r="E13" s="3">
        <f>261511009*14000</f>
        <v>3661154126000</v>
      </c>
      <c r="F13" s="3">
        <f>27000000000+8611686432</f>
        <v>35611686432</v>
      </c>
      <c r="G13">
        <f t="shared" si="0"/>
        <v>102.80765930563049</v>
      </c>
    </row>
    <row r="14" spans="1:7" x14ac:dyDescent="0.25">
      <c r="A14" s="5" t="s">
        <v>59</v>
      </c>
      <c r="B14" s="5" t="s">
        <v>14</v>
      </c>
      <c r="C14" s="6" t="s">
        <v>22</v>
      </c>
      <c r="D14">
        <v>2017</v>
      </c>
      <c r="E14" s="3">
        <v>224495481967</v>
      </c>
      <c r="F14" s="3">
        <f>4000000000+1303440681</f>
        <v>5303440681</v>
      </c>
      <c r="G14">
        <f t="shared" si="0"/>
        <v>42.330157999366904</v>
      </c>
    </row>
    <row r="15" spans="1:7" x14ac:dyDescent="0.25">
      <c r="A15" s="5"/>
      <c r="B15" s="5"/>
      <c r="C15" s="6"/>
      <c r="D15">
        <v>2018</v>
      </c>
      <c r="E15" s="3">
        <v>323237568459</v>
      </c>
      <c r="F15" s="3">
        <f>4000000000+1465783780</f>
        <v>5465783780</v>
      </c>
      <c r="G15">
        <f t="shared" si="0"/>
        <v>59.1383745624493</v>
      </c>
    </row>
    <row r="16" spans="1:7" x14ac:dyDescent="0.25">
      <c r="A16" s="5" t="s">
        <v>60</v>
      </c>
      <c r="B16" s="5" t="s">
        <v>23</v>
      </c>
      <c r="C16" s="6" t="s">
        <v>32</v>
      </c>
      <c r="D16">
        <v>2017</v>
      </c>
      <c r="E16" s="3">
        <f>292218111*14000</f>
        <v>4091053554000</v>
      </c>
      <c r="F16" s="3">
        <f>20000000000+5882353000</f>
        <v>25882353000</v>
      </c>
      <c r="G16">
        <f t="shared" si="0"/>
        <v>158.06343240894674</v>
      </c>
    </row>
    <row r="17" spans="1:7" x14ac:dyDescent="0.25">
      <c r="A17" s="5"/>
      <c r="B17" s="5"/>
      <c r="C17" s="6"/>
      <c r="D17">
        <v>2018</v>
      </c>
      <c r="E17" s="3">
        <f>315812916*14000</f>
        <v>4421380824000</v>
      </c>
      <c r="F17" s="3">
        <f>F16</f>
        <v>25882353000</v>
      </c>
      <c r="G17">
        <f t="shared" si="0"/>
        <v>170.82607690266801</v>
      </c>
    </row>
    <row r="18" spans="1:7" x14ac:dyDescent="0.25">
      <c r="A18" s="5" t="s">
        <v>61</v>
      </c>
      <c r="B18" s="5" t="s">
        <v>25</v>
      </c>
      <c r="C18" s="6" t="s">
        <v>34</v>
      </c>
      <c r="D18">
        <v>2017</v>
      </c>
      <c r="E18" s="4">
        <f>395860722*14000</f>
        <v>5542050108000</v>
      </c>
      <c r="F18" s="3">
        <f>10000000000+2703620000</f>
        <v>12703620000</v>
      </c>
      <c r="G18">
        <f t="shared" si="0"/>
        <v>436.25754769113058</v>
      </c>
    </row>
    <row r="19" spans="1:7" x14ac:dyDescent="0.25">
      <c r="A19" s="5"/>
      <c r="B19" s="5"/>
      <c r="C19" s="6"/>
      <c r="D19">
        <v>2018</v>
      </c>
      <c r="E19" s="3">
        <f>388486791*14000</f>
        <v>5438815074000</v>
      </c>
      <c r="F19" s="3">
        <f>F18</f>
        <v>12703620000</v>
      </c>
      <c r="G19">
        <f t="shared" si="0"/>
        <v>428.13112120797064</v>
      </c>
    </row>
    <row r="20" spans="1:7" x14ac:dyDescent="0.25">
      <c r="A20" s="5" t="s">
        <v>62</v>
      </c>
      <c r="B20" s="5" t="s">
        <v>26</v>
      </c>
      <c r="C20" s="6" t="s">
        <v>35</v>
      </c>
      <c r="D20">
        <v>2017</v>
      </c>
      <c r="E20" s="3">
        <f>958139*14000</f>
        <v>13413946000</v>
      </c>
      <c r="F20" s="3">
        <f>3000000000+1129925000</f>
        <v>4129925000</v>
      </c>
      <c r="G20">
        <f t="shared" si="0"/>
        <v>3.2479877963885544</v>
      </c>
    </row>
    <row r="21" spans="1:7" x14ac:dyDescent="0.25">
      <c r="A21" s="5"/>
      <c r="B21" s="5"/>
      <c r="C21" s="6"/>
      <c r="D21">
        <v>2018</v>
      </c>
      <c r="E21" s="3">
        <f>969783*14000</f>
        <v>13576962000</v>
      </c>
      <c r="F21" s="3">
        <f>F20</f>
        <v>4129925000</v>
      </c>
      <c r="G21">
        <f t="shared" si="0"/>
        <v>3.2874596996313494</v>
      </c>
    </row>
    <row r="22" spans="1:7" x14ac:dyDescent="0.25">
      <c r="A22" s="5" t="s">
        <v>63</v>
      </c>
      <c r="B22" s="5" t="s">
        <v>28</v>
      </c>
      <c r="C22" s="6" t="s">
        <v>37</v>
      </c>
      <c r="D22">
        <v>2017</v>
      </c>
      <c r="E22" s="3">
        <f>122304341*14000</f>
        <v>1712260774000</v>
      </c>
      <c r="F22" s="3">
        <f>3900000000+1227271952</f>
        <v>5127271952</v>
      </c>
      <c r="G22">
        <f t="shared" si="0"/>
        <v>333.95161989254279</v>
      </c>
    </row>
    <row r="23" spans="1:7" x14ac:dyDescent="0.25">
      <c r="A23" s="5"/>
      <c r="B23" s="5"/>
      <c r="C23" s="6"/>
      <c r="D23">
        <v>2018</v>
      </c>
      <c r="E23" s="3">
        <f>124181254*14000</f>
        <v>1738537556000</v>
      </c>
      <c r="F23" s="3">
        <f>F22</f>
        <v>5127271952</v>
      </c>
      <c r="G23">
        <f t="shared" si="0"/>
        <v>339.07652495823766</v>
      </c>
    </row>
    <row r="24" spans="1:7" x14ac:dyDescent="0.25">
      <c r="A24" s="5" t="s">
        <v>64</v>
      </c>
      <c r="B24" s="5" t="s">
        <v>29</v>
      </c>
      <c r="C24" s="6" t="s">
        <v>38</v>
      </c>
      <c r="D24">
        <v>2017</v>
      </c>
      <c r="E24" s="3">
        <f>102541343*14000</f>
        <v>1435578802000</v>
      </c>
      <c r="F24" s="3">
        <f>5500000000+2206312500</f>
        <v>7706312500</v>
      </c>
      <c r="G24">
        <f t="shared" si="0"/>
        <v>186.28608715257784</v>
      </c>
    </row>
    <row r="25" spans="1:7" x14ac:dyDescent="0.25">
      <c r="A25" s="5"/>
      <c r="B25" s="5"/>
      <c r="C25" s="6"/>
      <c r="D25">
        <v>2018</v>
      </c>
      <c r="E25" s="3">
        <f>113987735*14000</f>
        <v>1595828290000</v>
      </c>
      <c r="F25" s="3">
        <f>5500000000+2206312500</f>
        <v>7706312500</v>
      </c>
      <c r="G25">
        <f t="shared" si="0"/>
        <v>207.08066147070988</v>
      </c>
    </row>
    <row r="26" spans="1:7" x14ac:dyDescent="0.25">
      <c r="A26" s="5" t="s">
        <v>65</v>
      </c>
      <c r="B26" s="5" t="s">
        <v>30</v>
      </c>
      <c r="C26" s="6" t="s">
        <v>39</v>
      </c>
      <c r="D26">
        <v>2017</v>
      </c>
      <c r="E26" s="3">
        <v>59323036000</v>
      </c>
      <c r="F26" s="3">
        <v>1200000000</v>
      </c>
      <c r="G26">
        <f t="shared" si="0"/>
        <v>49.43586333333333</v>
      </c>
    </row>
    <row r="27" spans="1:7" x14ac:dyDescent="0.25">
      <c r="A27" s="5"/>
      <c r="B27" s="5"/>
      <c r="C27" s="6"/>
      <c r="D27">
        <v>2018</v>
      </c>
      <c r="E27" s="3">
        <v>55578753000</v>
      </c>
      <c r="F27" s="3">
        <v>1200000000</v>
      </c>
      <c r="G27">
        <f t="shared" si="0"/>
        <v>46.315627499999998</v>
      </c>
    </row>
    <row r="28" spans="1:7" x14ac:dyDescent="0.25">
      <c r="A28" s="5" t="s">
        <v>66</v>
      </c>
      <c r="B28" s="5" t="s">
        <v>31</v>
      </c>
      <c r="C28" s="6" t="s">
        <v>40</v>
      </c>
      <c r="D28">
        <v>2017</v>
      </c>
      <c r="E28" s="3">
        <v>13799985000000</v>
      </c>
      <c r="F28" s="3">
        <f>39999999995+7999999999</f>
        <v>47999999994</v>
      </c>
      <c r="G28">
        <f t="shared" si="0"/>
        <v>287.49968753593748</v>
      </c>
    </row>
    <row r="29" spans="1:7" x14ac:dyDescent="0.25">
      <c r="A29" s="5"/>
      <c r="B29" s="5"/>
      <c r="C29" s="6"/>
      <c r="D29">
        <v>2018</v>
      </c>
      <c r="E29" s="3">
        <v>16269969000000</v>
      </c>
      <c r="F29" s="3">
        <f>39999999995+11520659245</f>
        <v>51520659240</v>
      </c>
      <c r="G29">
        <f t="shared" si="0"/>
        <v>315.79504688030465</v>
      </c>
    </row>
    <row r="30" spans="1:7" x14ac:dyDescent="0.25">
      <c r="A30" s="5" t="s">
        <v>67</v>
      </c>
      <c r="B30" s="5" t="s">
        <v>48</v>
      </c>
      <c r="C30" s="6" t="s">
        <v>41</v>
      </c>
      <c r="D30">
        <v>2017</v>
      </c>
      <c r="E30" s="3">
        <f>178535000*14000</f>
        <v>2499490000000</v>
      </c>
      <c r="F30" s="3">
        <f>4034420000+1008605000</f>
        <v>5043025000</v>
      </c>
      <c r="G30">
        <f t="shared" si="0"/>
        <v>495.6330773692377</v>
      </c>
    </row>
    <row r="31" spans="1:7" x14ac:dyDescent="0.25">
      <c r="A31" s="5"/>
      <c r="B31" s="5"/>
      <c r="C31" s="6"/>
      <c r="D31">
        <v>2018</v>
      </c>
      <c r="E31" s="3">
        <f>191132000*14000</f>
        <v>2675848000000</v>
      </c>
      <c r="F31" s="3">
        <f>F30</f>
        <v>5043025000</v>
      </c>
      <c r="G31">
        <f t="shared" si="0"/>
        <v>530.6037546908849</v>
      </c>
    </row>
    <row r="32" spans="1:7" x14ac:dyDescent="0.25">
      <c r="A32" s="5" t="s">
        <v>68</v>
      </c>
      <c r="B32" s="5" t="s">
        <v>42</v>
      </c>
      <c r="C32" s="6" t="s">
        <v>43</v>
      </c>
      <c r="D32">
        <v>2017</v>
      </c>
      <c r="E32" s="3">
        <v>419360249695</v>
      </c>
      <c r="F32" s="3">
        <f>3600000000+3150000000</f>
        <v>6750000000</v>
      </c>
      <c r="G32">
        <f t="shared" si="0"/>
        <v>62.127444399259261</v>
      </c>
    </row>
    <row r="33" spans="1:7" x14ac:dyDescent="0.25">
      <c r="A33" s="5"/>
      <c r="B33" s="5"/>
      <c r="C33" s="6"/>
      <c r="D33">
        <v>2018</v>
      </c>
      <c r="E33" s="3">
        <v>489534966943</v>
      </c>
      <c r="F33" s="3">
        <f>F32</f>
        <v>6750000000</v>
      </c>
      <c r="G33">
        <f t="shared" si="0"/>
        <v>72.523698806370376</v>
      </c>
    </row>
    <row r="34" spans="1:7" x14ac:dyDescent="0.25">
      <c r="A34" s="5" t="s">
        <v>69</v>
      </c>
      <c r="B34" s="5" t="s">
        <v>44</v>
      </c>
      <c r="C34" s="6" t="s">
        <v>45</v>
      </c>
      <c r="D34">
        <v>2017</v>
      </c>
      <c r="E34" s="3">
        <f>174799423*14000</f>
        <v>2447191922000</v>
      </c>
      <c r="F34" s="3">
        <f>6000000000+2012491000</f>
        <v>8012491000</v>
      </c>
      <c r="G34">
        <f t="shared" si="0"/>
        <v>305.42211180018796</v>
      </c>
    </row>
    <row r="35" spans="1:7" x14ac:dyDescent="0.25">
      <c r="A35" s="5"/>
      <c r="B35" s="5"/>
      <c r="C35" s="6"/>
      <c r="D35">
        <v>2018</v>
      </c>
      <c r="E35" s="3">
        <f>215623872*14000</f>
        <v>3018734208000</v>
      </c>
      <c r="F35" s="3">
        <f>6000000000+2012491000</f>
        <v>8012491000</v>
      </c>
      <c r="G35">
        <f t="shared" si="0"/>
        <v>376.75352246885518</v>
      </c>
    </row>
  </sheetData>
  <mergeCells count="51">
    <mergeCell ref="C34:C35"/>
    <mergeCell ref="C22:C23"/>
    <mergeCell ref="C24:C25"/>
    <mergeCell ref="C26:C27"/>
    <mergeCell ref="C28:C29"/>
    <mergeCell ref="C30:C31"/>
    <mergeCell ref="C32:C33"/>
    <mergeCell ref="A32:A33"/>
    <mergeCell ref="A34:A35"/>
    <mergeCell ref="C6:C7"/>
    <mergeCell ref="C8:C9"/>
    <mergeCell ref="C10:C11"/>
    <mergeCell ref="C12:C13"/>
    <mergeCell ref="C14:C15"/>
    <mergeCell ref="C16:C17"/>
    <mergeCell ref="C18:C19"/>
    <mergeCell ref="C20:C21"/>
    <mergeCell ref="A20:A21"/>
    <mergeCell ref="A22:A23"/>
    <mergeCell ref="A24:A25"/>
    <mergeCell ref="A26:A27"/>
    <mergeCell ref="A28:A29"/>
    <mergeCell ref="A30:A31"/>
    <mergeCell ref="B34:B35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B22:B23"/>
    <mergeCell ref="B24:B25"/>
    <mergeCell ref="B26:B27"/>
    <mergeCell ref="B28:B29"/>
    <mergeCell ref="B30:B31"/>
    <mergeCell ref="B32:B33"/>
    <mergeCell ref="B20:B21"/>
    <mergeCell ref="B2:B3"/>
    <mergeCell ref="C2:C3"/>
    <mergeCell ref="C4:C5"/>
    <mergeCell ref="B4:B5"/>
    <mergeCell ref="B6:B7"/>
    <mergeCell ref="B8:B9"/>
    <mergeCell ref="B10:B11"/>
    <mergeCell ref="B12:B13"/>
    <mergeCell ref="B14:B15"/>
    <mergeCell ref="B16:B17"/>
    <mergeCell ref="B18:B19"/>
  </mergeCells>
  <pageMargins left="0.7" right="0.7" top="0.75" bottom="0.75" header="0.3" footer="0.3"/>
  <ignoredErrors>
    <ignoredError sqref="F18 F20 F22 F3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E4146-CD8C-4852-A9A6-1435FBE9916C}">
  <dimension ref="A1:G35"/>
  <sheetViews>
    <sheetView topLeftCell="D1" workbookViewId="0">
      <selection activeCell="G1" sqref="G1:G1048576"/>
    </sheetView>
  </sheetViews>
  <sheetFormatPr defaultRowHeight="15" x14ac:dyDescent="0.25"/>
  <cols>
    <col min="1" max="1" width="4.7109375" style="1" customWidth="1"/>
    <col min="2" max="2" width="14.5703125" style="1" customWidth="1"/>
    <col min="3" max="3" width="40.5703125" customWidth="1"/>
    <col min="5" max="5" width="22.28515625" customWidth="1"/>
    <col min="6" max="6" width="22.42578125" customWidth="1"/>
    <col min="7" max="7" width="19.28515625" customWidth="1"/>
  </cols>
  <sheetData>
    <row r="1" spans="1:7" s="1" customFormat="1" x14ac:dyDescent="0.25">
      <c r="A1" s="1" t="s">
        <v>52</v>
      </c>
      <c r="B1" s="1" t="s">
        <v>2</v>
      </c>
      <c r="C1" s="1" t="s">
        <v>0</v>
      </c>
      <c r="D1" s="1" t="s">
        <v>49</v>
      </c>
      <c r="E1" s="1" t="s">
        <v>70</v>
      </c>
      <c r="F1" s="1" t="s">
        <v>71</v>
      </c>
      <c r="G1" s="1" t="s">
        <v>77</v>
      </c>
    </row>
    <row r="2" spans="1:7" x14ac:dyDescent="0.25">
      <c r="A2" s="5" t="s">
        <v>53</v>
      </c>
      <c r="B2" s="5" t="s">
        <v>3</v>
      </c>
      <c r="C2" s="6" t="s">
        <v>5</v>
      </c>
      <c r="D2">
        <v>2017</v>
      </c>
      <c r="E2" s="3">
        <f>536438000*14000</f>
        <v>7510132000000</v>
      </c>
      <c r="F2" s="3">
        <f>6814147000*14000</f>
        <v>95398058000000</v>
      </c>
      <c r="G2">
        <f>(E2/F2)*100</f>
        <v>7.8724160192024035</v>
      </c>
    </row>
    <row r="3" spans="1:7" x14ac:dyDescent="0.25">
      <c r="A3" s="5"/>
      <c r="B3" s="5"/>
      <c r="C3" s="6"/>
      <c r="D3">
        <v>2018</v>
      </c>
      <c r="E3" s="3">
        <f>477541000*14000</f>
        <v>6685574000000</v>
      </c>
      <c r="F3" s="3">
        <f>7060755000*14000</f>
        <v>98850570000000</v>
      </c>
      <c r="G3">
        <f t="shared" ref="G3:G35" si="0">(E3/F3)*100</f>
        <v>6.7633135549951815</v>
      </c>
    </row>
    <row r="4" spans="1:7" x14ac:dyDescent="0.25">
      <c r="A4" s="5" t="s">
        <v>54</v>
      </c>
      <c r="B4" s="5" t="s">
        <v>4</v>
      </c>
      <c r="C4" s="6" t="s">
        <v>6</v>
      </c>
      <c r="D4">
        <v>2017</v>
      </c>
      <c r="E4" s="3">
        <f>-16717000*14000</f>
        <v>-234038000000</v>
      </c>
      <c r="F4" s="3">
        <f>327055000*14000</f>
        <v>4578770000000</v>
      </c>
      <c r="G4">
        <f t="shared" si="0"/>
        <v>-5.1113727048967297</v>
      </c>
    </row>
    <row r="5" spans="1:7" x14ac:dyDescent="0.25">
      <c r="A5" s="5"/>
      <c r="B5" s="5"/>
      <c r="C5" s="6"/>
      <c r="D5">
        <v>2018</v>
      </c>
      <c r="E5" s="3">
        <f>-28258000*14000</f>
        <v>-395612000000</v>
      </c>
      <c r="F5" s="3">
        <f>350065000*14000</f>
        <v>4900910000000</v>
      </c>
      <c r="G5">
        <f t="shared" si="0"/>
        <v>-8.0722151600417078</v>
      </c>
    </row>
    <row r="6" spans="1:7" x14ac:dyDescent="0.25">
      <c r="A6" s="5" t="s">
        <v>55</v>
      </c>
      <c r="B6" s="5" t="s">
        <v>9</v>
      </c>
      <c r="C6" s="6" t="s">
        <v>17</v>
      </c>
      <c r="D6">
        <v>2017</v>
      </c>
      <c r="E6" s="3">
        <f>82816929*14000</f>
        <v>1159437006000</v>
      </c>
      <c r="F6" s="3">
        <f>210137454*14000</f>
        <v>2941924356000</v>
      </c>
      <c r="G6">
        <f t="shared" si="0"/>
        <v>39.410836775437467</v>
      </c>
    </row>
    <row r="7" spans="1:7" x14ac:dyDescent="0.25">
      <c r="A7" s="5"/>
      <c r="B7" s="5"/>
      <c r="C7" s="6"/>
      <c r="D7">
        <v>2018</v>
      </c>
      <c r="E7" s="3">
        <f>69063191*14000</f>
        <v>966884674000</v>
      </c>
      <c r="F7" s="3">
        <f>245100202*14000</f>
        <v>3431402828000</v>
      </c>
      <c r="G7">
        <f t="shared" si="0"/>
        <v>28.177533284937891</v>
      </c>
    </row>
    <row r="8" spans="1:7" x14ac:dyDescent="0.25">
      <c r="A8" s="5" t="s">
        <v>56</v>
      </c>
      <c r="B8" s="5" t="s">
        <v>10</v>
      </c>
      <c r="C8" s="6" t="s">
        <v>18</v>
      </c>
      <c r="D8">
        <v>2017</v>
      </c>
      <c r="E8" s="3">
        <f>242746183*14000</f>
        <v>3398446562000</v>
      </c>
      <c r="F8" s="3">
        <f>3696498624*14000</f>
        <v>51750980736000</v>
      </c>
      <c r="G8">
        <f t="shared" si="0"/>
        <v>6.5669220441186891</v>
      </c>
    </row>
    <row r="9" spans="1:7" x14ac:dyDescent="0.25">
      <c r="A9" s="5"/>
      <c r="B9" s="5"/>
      <c r="C9" s="6"/>
      <c r="D9">
        <v>2018</v>
      </c>
      <c r="E9" s="3">
        <f>158218349*14000</f>
        <v>2215056886000</v>
      </c>
      <c r="F9" s="3">
        <f>3906773939*14000</f>
        <v>54694835146000</v>
      </c>
      <c r="G9">
        <f t="shared" si="0"/>
        <v>4.0498465350288084</v>
      </c>
    </row>
    <row r="10" spans="1:7" x14ac:dyDescent="0.25">
      <c r="A10" s="5" t="s">
        <v>57</v>
      </c>
      <c r="B10" s="5" t="s">
        <v>11</v>
      </c>
      <c r="C10" s="6" t="s">
        <v>19</v>
      </c>
      <c r="D10">
        <v>2017</v>
      </c>
      <c r="E10" s="3">
        <f>338017199*14000</f>
        <v>4732240786000</v>
      </c>
      <c r="F10" s="3">
        <f>888813140*14000</f>
        <v>12443383960000</v>
      </c>
      <c r="G10">
        <f t="shared" si="0"/>
        <v>38.030175723999761</v>
      </c>
    </row>
    <row r="11" spans="1:7" x14ac:dyDescent="0.25">
      <c r="A11" s="5"/>
      <c r="B11" s="5"/>
      <c r="C11" s="6"/>
      <c r="D11">
        <v>2018</v>
      </c>
      <c r="E11" s="3">
        <f>624309273*14000</f>
        <v>8740329822000</v>
      </c>
      <c r="F11" s="3">
        <f>1150863891*14000</f>
        <v>16112094474000</v>
      </c>
      <c r="G11">
        <f t="shared" si="0"/>
        <v>54.247011995269915</v>
      </c>
    </row>
    <row r="12" spans="1:7" x14ac:dyDescent="0.25">
      <c r="A12" s="5" t="s">
        <v>58</v>
      </c>
      <c r="B12" s="5" t="s">
        <v>13</v>
      </c>
      <c r="C12" s="6" t="s">
        <v>21</v>
      </c>
      <c r="D12">
        <v>2017</v>
      </c>
      <c r="E12" s="3">
        <f>46747301*14000</f>
        <v>654462214000</v>
      </c>
      <c r="F12" s="3">
        <f>945581412*14000</f>
        <v>13238139768000</v>
      </c>
      <c r="G12">
        <f t="shared" si="0"/>
        <v>4.9437626847089504</v>
      </c>
    </row>
    <row r="13" spans="1:7" x14ac:dyDescent="0.25">
      <c r="A13" s="5"/>
      <c r="B13" s="5"/>
      <c r="C13" s="6"/>
      <c r="D13">
        <v>2018</v>
      </c>
      <c r="E13" s="3">
        <f>75643300*14000</f>
        <v>1059006200000</v>
      </c>
      <c r="F13" s="3">
        <f>1184094711*14000</f>
        <v>16577325954000</v>
      </c>
      <c r="G13">
        <f t="shared" si="0"/>
        <v>6.3882812157920368</v>
      </c>
    </row>
    <row r="14" spans="1:7" x14ac:dyDescent="0.25">
      <c r="A14" s="5" t="s">
        <v>59</v>
      </c>
      <c r="B14" s="5" t="s">
        <v>14</v>
      </c>
      <c r="C14" s="6" t="s">
        <v>22</v>
      </c>
      <c r="D14">
        <v>2017</v>
      </c>
      <c r="E14" s="3">
        <v>-1054199573</v>
      </c>
      <c r="F14" s="3">
        <v>457422862654</v>
      </c>
      <c r="G14">
        <f t="shared" si="0"/>
        <v>-0.23046499400652146</v>
      </c>
    </row>
    <row r="15" spans="1:7" x14ac:dyDescent="0.25">
      <c r="A15" s="5"/>
      <c r="B15" s="5"/>
      <c r="C15" s="6"/>
      <c r="D15">
        <v>2018</v>
      </c>
      <c r="E15" s="3">
        <v>-2940784633</v>
      </c>
      <c r="F15" s="3">
        <v>573239122900</v>
      </c>
      <c r="G15">
        <f t="shared" si="0"/>
        <v>-0.513011850643176</v>
      </c>
    </row>
    <row r="16" spans="1:7" x14ac:dyDescent="0.25">
      <c r="A16" s="5" t="s">
        <v>60</v>
      </c>
      <c r="B16" s="5" t="s">
        <v>23</v>
      </c>
      <c r="C16" s="6" t="s">
        <v>32</v>
      </c>
      <c r="D16">
        <v>2017</v>
      </c>
      <c r="E16" s="3">
        <f>120106040*14000</f>
        <v>1681484560000</v>
      </c>
      <c r="F16" s="3">
        <f>590469384*14000</f>
        <v>8266571376000</v>
      </c>
      <c r="G16">
        <f t="shared" si="0"/>
        <v>20.340773502322687</v>
      </c>
    </row>
    <row r="17" spans="1:7" x14ac:dyDescent="0.25">
      <c r="A17" s="5"/>
      <c r="B17" s="5"/>
      <c r="C17" s="6"/>
      <c r="D17">
        <v>2018</v>
      </c>
      <c r="E17" s="3">
        <f>100548578*14000</f>
        <v>1407680092000</v>
      </c>
      <c r="F17" s="3">
        <f>701046630*14000</f>
        <v>9814652820000</v>
      </c>
      <c r="G17">
        <f t="shared" si="0"/>
        <v>14.342637664487453</v>
      </c>
    </row>
    <row r="18" spans="1:7" x14ac:dyDescent="0.25">
      <c r="A18" s="5" t="s">
        <v>61</v>
      </c>
      <c r="B18" s="5" t="s">
        <v>25</v>
      </c>
      <c r="C18" s="6" t="s">
        <v>34</v>
      </c>
      <c r="D18">
        <v>2017</v>
      </c>
      <c r="E18" s="3">
        <f>73030968*14000</f>
        <v>1022433552000</v>
      </c>
      <c r="F18" s="3">
        <f>459443071*14000</f>
        <v>6432202994000</v>
      </c>
      <c r="G18">
        <f t="shared" si="0"/>
        <v>15.89554236633596</v>
      </c>
    </row>
    <row r="19" spans="1:7" x14ac:dyDescent="0.25">
      <c r="A19" s="5"/>
      <c r="B19" s="5"/>
      <c r="C19" s="6"/>
      <c r="D19">
        <v>2018</v>
      </c>
      <c r="E19" s="3">
        <f>40205422*14000</f>
        <v>562875908000</v>
      </c>
      <c r="F19" s="3">
        <f>467989195*14000</f>
        <v>6551848730000</v>
      </c>
      <c r="G19">
        <f t="shared" si="0"/>
        <v>8.5911004847024302</v>
      </c>
    </row>
    <row r="20" spans="1:7" x14ac:dyDescent="0.25">
      <c r="A20" s="5" t="s">
        <v>62</v>
      </c>
      <c r="B20" s="5" t="s">
        <v>26</v>
      </c>
      <c r="C20" s="6" t="s">
        <v>35</v>
      </c>
      <c r="D20">
        <v>2017</v>
      </c>
      <c r="E20" s="3">
        <f>252703*14000</f>
        <v>3537842000</v>
      </c>
      <c r="F20" s="3">
        <f>1358663*14000</f>
        <v>19021282000</v>
      </c>
      <c r="G20">
        <f t="shared" si="0"/>
        <v>18.599387780487138</v>
      </c>
    </row>
    <row r="21" spans="1:7" x14ac:dyDescent="0.25">
      <c r="A21" s="5"/>
      <c r="B21" s="5"/>
      <c r="C21" s="6"/>
      <c r="D21">
        <v>2018</v>
      </c>
      <c r="E21" s="3">
        <f>258756*14000</f>
        <v>3622584000</v>
      </c>
      <c r="F21" s="3">
        <f>1442728*14000</f>
        <v>20198192000</v>
      </c>
      <c r="G21">
        <f t="shared" si="0"/>
        <v>17.935189446659383</v>
      </c>
    </row>
    <row r="22" spans="1:7" x14ac:dyDescent="0.25">
      <c r="A22" s="5" t="s">
        <v>63</v>
      </c>
      <c r="B22" s="5" t="s">
        <v>28</v>
      </c>
      <c r="C22" s="6" t="s">
        <v>37</v>
      </c>
      <c r="D22">
        <v>2017</v>
      </c>
      <c r="E22" s="3">
        <f>58635700*14000</f>
        <v>820899800000</v>
      </c>
      <c r="F22" s="3">
        <f>160778962*14000</f>
        <v>2250905468000</v>
      </c>
      <c r="G22">
        <f t="shared" si="0"/>
        <v>36.469759022327807</v>
      </c>
    </row>
    <row r="23" spans="1:7" x14ac:dyDescent="0.25">
      <c r="A23" s="5"/>
      <c r="B23" s="5"/>
      <c r="C23" s="6"/>
      <c r="D23">
        <v>2018</v>
      </c>
      <c r="E23" s="3">
        <f>50310702*14000</f>
        <v>704349828000</v>
      </c>
      <c r="F23" s="3">
        <f>173509262*14000</f>
        <v>2429129668000</v>
      </c>
      <c r="G23">
        <f t="shared" si="0"/>
        <v>28.995974866171697</v>
      </c>
    </row>
    <row r="24" spans="1:7" x14ac:dyDescent="0.25">
      <c r="A24" s="5" t="s">
        <v>64</v>
      </c>
      <c r="B24" s="5" t="s">
        <v>29</v>
      </c>
      <c r="C24" s="6" t="s">
        <v>38</v>
      </c>
      <c r="D24">
        <v>2017</v>
      </c>
      <c r="E24" s="3">
        <f>12306356*14000</f>
        <v>172288984000</v>
      </c>
      <c r="F24" s="3">
        <f>136067975*14000</f>
        <v>1904951650000</v>
      </c>
      <c r="G24">
        <f t="shared" si="0"/>
        <v>9.0442707036685146</v>
      </c>
    </row>
    <row r="25" spans="1:7" x14ac:dyDescent="0.25">
      <c r="A25" s="5"/>
      <c r="B25" s="5"/>
      <c r="C25" s="6"/>
      <c r="D25">
        <v>2018</v>
      </c>
      <c r="E25" s="3">
        <f>30928664*14000</f>
        <v>433001296000</v>
      </c>
      <c r="F25" s="3">
        <f>151326098*14000</f>
        <v>2118565372000</v>
      </c>
      <c r="G25">
        <f t="shared" si="0"/>
        <v>20.438420344387655</v>
      </c>
    </row>
    <row r="26" spans="1:7" x14ac:dyDescent="0.25">
      <c r="A26" s="5" t="s">
        <v>65</v>
      </c>
      <c r="B26" s="5" t="s">
        <v>30</v>
      </c>
      <c r="C26" s="6" t="s">
        <v>39</v>
      </c>
      <c r="D26">
        <v>2017</v>
      </c>
      <c r="E26" s="3">
        <v>-10440092000</v>
      </c>
      <c r="F26" s="3">
        <v>137363302000</v>
      </c>
      <c r="G26">
        <f t="shared" si="0"/>
        <v>-7.6003502012495296</v>
      </c>
    </row>
    <row r="27" spans="1:7" x14ac:dyDescent="0.25">
      <c r="A27" s="5"/>
      <c r="B27" s="5"/>
      <c r="C27" s="6"/>
      <c r="D27">
        <v>2018</v>
      </c>
      <c r="E27" s="3">
        <v>-3829849000</v>
      </c>
      <c r="F27" s="3">
        <f>127894510000</f>
        <v>127894510000</v>
      </c>
      <c r="G27">
        <f t="shared" si="0"/>
        <v>-2.9945374512166318</v>
      </c>
    </row>
    <row r="28" spans="1:7" x14ac:dyDescent="0.25">
      <c r="A28" s="5" t="s">
        <v>66</v>
      </c>
      <c r="B28" s="5" t="s">
        <v>31</v>
      </c>
      <c r="C28" s="6" t="s">
        <v>40</v>
      </c>
      <c r="D28">
        <v>2017</v>
      </c>
      <c r="E28" s="3">
        <v>4547232000000</v>
      </c>
      <c r="F28" s="3">
        <v>21987482000000</v>
      </c>
      <c r="G28">
        <f t="shared" si="0"/>
        <v>20.681003854829765</v>
      </c>
    </row>
    <row r="29" spans="1:7" x14ac:dyDescent="0.25">
      <c r="A29" s="5"/>
      <c r="B29" s="5"/>
      <c r="C29" s="6"/>
      <c r="D29">
        <v>2018</v>
      </c>
      <c r="E29" s="3">
        <v>5121112000000</v>
      </c>
      <c r="F29" s="3">
        <v>24172933000000</v>
      </c>
      <c r="G29">
        <f t="shared" si="0"/>
        <v>21.185314996736228</v>
      </c>
    </row>
    <row r="30" spans="1:7" x14ac:dyDescent="0.25">
      <c r="A30" s="5" t="s">
        <v>67</v>
      </c>
      <c r="B30" s="5" t="s">
        <v>48</v>
      </c>
      <c r="C30" s="6" t="s">
        <v>41</v>
      </c>
      <c r="D30">
        <v>2017</v>
      </c>
      <c r="E30" s="3">
        <f>8311000*14000</f>
        <v>116354000000</v>
      </c>
      <c r="F30" s="3">
        <f>436844000*14000</f>
        <v>6115816000000</v>
      </c>
      <c r="G30">
        <f t="shared" si="0"/>
        <v>1.9025098204393329</v>
      </c>
    </row>
    <row r="31" spans="1:7" x14ac:dyDescent="0.25">
      <c r="A31" s="5"/>
      <c r="B31" s="5"/>
      <c r="C31" s="6"/>
      <c r="D31">
        <v>2018</v>
      </c>
      <c r="E31" s="3">
        <f>23166000*14000</f>
        <v>324324000000</v>
      </c>
      <c r="F31" s="3">
        <f>555591000*14000</f>
        <v>7778274000000</v>
      </c>
      <c r="G31">
        <f t="shared" si="0"/>
        <v>4.1696139786281634</v>
      </c>
    </row>
    <row r="32" spans="1:7" x14ac:dyDescent="0.25">
      <c r="A32" s="5" t="s">
        <v>68</v>
      </c>
      <c r="B32" s="5" t="s">
        <v>42</v>
      </c>
      <c r="C32" s="6" t="s">
        <v>43</v>
      </c>
      <c r="D32">
        <v>2017</v>
      </c>
      <c r="E32" s="3">
        <v>40078001432</v>
      </c>
      <c r="F32" s="3">
        <v>725663914382</v>
      </c>
      <c r="G32">
        <f t="shared" si="0"/>
        <v>5.5229425961096315</v>
      </c>
    </row>
    <row r="33" spans="1:7" x14ac:dyDescent="0.25">
      <c r="A33" s="5"/>
      <c r="B33" s="5"/>
      <c r="C33" s="6"/>
      <c r="D33">
        <v>2018</v>
      </c>
      <c r="E33" s="3">
        <v>84584567691</v>
      </c>
      <c r="F33" s="3">
        <v>831965937268</v>
      </c>
      <c r="G33">
        <f t="shared" si="0"/>
        <v>10.166830623950521</v>
      </c>
    </row>
    <row r="34" spans="1:7" x14ac:dyDescent="0.25">
      <c r="A34" s="5" t="s">
        <v>69</v>
      </c>
      <c r="B34" s="5" t="s">
        <v>44</v>
      </c>
      <c r="C34" s="6" t="s">
        <v>45</v>
      </c>
      <c r="D34">
        <v>2017</v>
      </c>
      <c r="E34" s="3">
        <f>41369891*14000</f>
        <v>579178474000</v>
      </c>
      <c r="F34" s="3">
        <f>348338028*14000</f>
        <v>4876732392000</v>
      </c>
      <c r="G34">
        <f t="shared" si="0"/>
        <v>11.876363668224016</v>
      </c>
    </row>
    <row r="35" spans="1:7" x14ac:dyDescent="0.25">
      <c r="A35" s="5"/>
      <c r="B35" s="5"/>
      <c r="C35" s="6"/>
      <c r="D35">
        <v>2018</v>
      </c>
      <c r="E35" s="3">
        <f>68089796*14000</f>
        <v>953257144000</v>
      </c>
      <c r="F35" s="3">
        <f>501883194*14000</f>
        <v>7026364716000</v>
      </c>
      <c r="G35">
        <f t="shared" si="0"/>
        <v>13.566861137015875</v>
      </c>
    </row>
  </sheetData>
  <mergeCells count="51">
    <mergeCell ref="A34:A35"/>
    <mergeCell ref="B34:B35"/>
    <mergeCell ref="C34:C35"/>
    <mergeCell ref="A30:A31"/>
    <mergeCell ref="B30:B31"/>
    <mergeCell ref="C30:C31"/>
    <mergeCell ref="A32:A33"/>
    <mergeCell ref="B32:B33"/>
    <mergeCell ref="C32:C33"/>
    <mergeCell ref="A26:A27"/>
    <mergeCell ref="B26:B27"/>
    <mergeCell ref="C26:C27"/>
    <mergeCell ref="A28:A29"/>
    <mergeCell ref="B28:B29"/>
    <mergeCell ref="C28:C29"/>
    <mergeCell ref="A22:A23"/>
    <mergeCell ref="B22:B23"/>
    <mergeCell ref="C22:C23"/>
    <mergeCell ref="A24:A25"/>
    <mergeCell ref="B24:B25"/>
    <mergeCell ref="C24:C25"/>
    <mergeCell ref="A18:A19"/>
    <mergeCell ref="B18:B19"/>
    <mergeCell ref="C18:C19"/>
    <mergeCell ref="A20:A21"/>
    <mergeCell ref="B20:B21"/>
    <mergeCell ref="C20:C21"/>
    <mergeCell ref="A14:A15"/>
    <mergeCell ref="B14:B15"/>
    <mergeCell ref="C14:C15"/>
    <mergeCell ref="A16:A17"/>
    <mergeCell ref="B16:B17"/>
    <mergeCell ref="C16:C17"/>
    <mergeCell ref="A10:A11"/>
    <mergeCell ref="B10:B11"/>
    <mergeCell ref="C10:C11"/>
    <mergeCell ref="A12:A13"/>
    <mergeCell ref="B12:B13"/>
    <mergeCell ref="C12:C13"/>
    <mergeCell ref="A6:A7"/>
    <mergeCell ref="B6:B7"/>
    <mergeCell ref="C6:C7"/>
    <mergeCell ref="A8:A9"/>
    <mergeCell ref="B8:B9"/>
    <mergeCell ref="C8:C9"/>
    <mergeCell ref="A2:A3"/>
    <mergeCell ref="B2:B3"/>
    <mergeCell ref="C2:C3"/>
    <mergeCell ref="A4:A5"/>
    <mergeCell ref="B4:B5"/>
    <mergeCell ref="C4:C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3297-E2B5-4CFD-B520-DF75A3249201}">
  <dimension ref="A1:F35"/>
  <sheetViews>
    <sheetView topLeftCell="D1" workbookViewId="0">
      <selection activeCell="F1" sqref="F1:F1048576"/>
    </sheetView>
  </sheetViews>
  <sheetFormatPr defaultRowHeight="15" x14ac:dyDescent="0.25"/>
  <cols>
    <col min="1" max="1" width="4.7109375" style="1" customWidth="1"/>
    <col min="2" max="2" width="14.5703125" style="1" customWidth="1"/>
    <col min="3" max="3" width="40.5703125" customWidth="1"/>
    <col min="5" max="5" width="24.7109375" customWidth="1"/>
    <col min="6" max="6" width="16.85546875" customWidth="1"/>
  </cols>
  <sheetData>
    <row r="1" spans="1:6" s="1" customFormat="1" x14ac:dyDescent="0.25">
      <c r="A1" s="1" t="s">
        <v>52</v>
      </c>
      <c r="B1" s="1" t="s">
        <v>2</v>
      </c>
      <c r="C1" s="1" t="s">
        <v>0</v>
      </c>
      <c r="D1" s="1" t="s">
        <v>49</v>
      </c>
      <c r="E1" s="1" t="s">
        <v>72</v>
      </c>
      <c r="F1" s="1" t="s">
        <v>78</v>
      </c>
    </row>
    <row r="2" spans="1:6" x14ac:dyDescent="0.25">
      <c r="A2" s="5" t="s">
        <v>53</v>
      </c>
      <c r="B2" s="5" t="s">
        <v>3</v>
      </c>
      <c r="C2" s="6" t="s">
        <v>5</v>
      </c>
      <c r="D2">
        <v>2017</v>
      </c>
      <c r="E2" s="3">
        <f>6814147000*14000</f>
        <v>95398058000000</v>
      </c>
      <c r="F2">
        <f>LN(E2)</f>
        <v>32.189079337781465</v>
      </c>
    </row>
    <row r="3" spans="1:6" x14ac:dyDescent="0.25">
      <c r="A3" s="5"/>
      <c r="B3" s="5"/>
      <c r="C3" s="6"/>
      <c r="D3">
        <v>2018</v>
      </c>
      <c r="E3" s="3">
        <f>7060755000*14000</f>
        <v>98850570000000</v>
      </c>
      <c r="F3">
        <f t="shared" ref="F3:F35" si="0">LN(E3)</f>
        <v>32.224630431841142</v>
      </c>
    </row>
    <row r="4" spans="1:6" x14ac:dyDescent="0.25">
      <c r="A4" s="5" t="s">
        <v>54</v>
      </c>
      <c r="B4" s="5" t="s">
        <v>4</v>
      </c>
      <c r="C4" s="6" t="s">
        <v>6</v>
      </c>
      <c r="D4">
        <v>2017</v>
      </c>
      <c r="E4" s="3">
        <f>327055000*14000</f>
        <v>4578770000000</v>
      </c>
      <c r="F4">
        <f t="shared" si="0"/>
        <v>29.152451519034262</v>
      </c>
    </row>
    <row r="5" spans="1:6" x14ac:dyDescent="0.25">
      <c r="A5" s="5"/>
      <c r="B5" s="5"/>
      <c r="C5" s="6"/>
      <c r="D5">
        <v>2018</v>
      </c>
      <c r="E5" s="3">
        <f>350065000*14000</f>
        <v>4900910000000</v>
      </c>
      <c r="F5">
        <f t="shared" si="0"/>
        <v>29.220442018088079</v>
      </c>
    </row>
    <row r="6" spans="1:6" x14ac:dyDescent="0.25">
      <c r="A6" s="5" t="s">
        <v>55</v>
      </c>
      <c r="B6" s="5" t="s">
        <v>9</v>
      </c>
      <c r="C6" s="6" t="s">
        <v>17</v>
      </c>
      <c r="D6">
        <v>2017</v>
      </c>
      <c r="E6" s="3">
        <f>210137454*14000</f>
        <v>2941924356000</v>
      </c>
      <c r="F6">
        <f t="shared" si="0"/>
        <v>28.710085026016532</v>
      </c>
    </row>
    <row r="7" spans="1:6" x14ac:dyDescent="0.25">
      <c r="A7" s="5"/>
      <c r="B7" s="5"/>
      <c r="C7" s="6"/>
      <c r="D7">
        <v>2018</v>
      </c>
      <c r="E7" s="3">
        <f>245100202*14000</f>
        <v>3431402828000</v>
      </c>
      <c r="F7">
        <f t="shared" si="0"/>
        <v>28.863990281248803</v>
      </c>
    </row>
    <row r="8" spans="1:6" x14ac:dyDescent="0.25">
      <c r="A8" s="5" t="s">
        <v>56</v>
      </c>
      <c r="B8" s="5" t="s">
        <v>10</v>
      </c>
      <c r="C8" s="6" t="s">
        <v>18</v>
      </c>
      <c r="D8">
        <v>2017</v>
      </c>
      <c r="E8" s="3">
        <f>3696498624*14000</f>
        <v>51750980736000</v>
      </c>
      <c r="F8">
        <f t="shared" si="0"/>
        <v>31.57746449931474</v>
      </c>
    </row>
    <row r="9" spans="1:6" x14ac:dyDescent="0.25">
      <c r="A9" s="5"/>
      <c r="B9" s="5"/>
      <c r="C9" s="6"/>
      <c r="D9">
        <v>2018</v>
      </c>
      <c r="E9" s="3">
        <f>3906773939*14000</f>
        <v>54694835146000</v>
      </c>
      <c r="F9">
        <f t="shared" si="0"/>
        <v>31.632790399435972</v>
      </c>
    </row>
    <row r="10" spans="1:6" x14ac:dyDescent="0.25">
      <c r="A10" s="5" t="s">
        <v>57</v>
      </c>
      <c r="B10" s="5" t="s">
        <v>11</v>
      </c>
      <c r="C10" s="6" t="s">
        <v>19</v>
      </c>
      <c r="D10">
        <v>2017</v>
      </c>
      <c r="E10" s="3">
        <f>888813140*14000</f>
        <v>12443383960000</v>
      </c>
      <c r="F10">
        <f t="shared" si="0"/>
        <v>30.152210188756207</v>
      </c>
    </row>
    <row r="11" spans="1:6" x14ac:dyDescent="0.25">
      <c r="A11" s="5"/>
      <c r="B11" s="5"/>
      <c r="C11" s="6"/>
      <c r="D11">
        <v>2018</v>
      </c>
      <c r="E11" s="3">
        <f>1150863891*14000</f>
        <v>16112094474000</v>
      </c>
      <c r="F11">
        <f t="shared" si="0"/>
        <v>30.410591315467503</v>
      </c>
    </row>
    <row r="12" spans="1:6" x14ac:dyDescent="0.25">
      <c r="A12" s="5" t="s">
        <v>58</v>
      </c>
      <c r="B12" s="5" t="s">
        <v>13</v>
      </c>
      <c r="C12" s="6" t="s">
        <v>21</v>
      </c>
      <c r="D12">
        <v>2017</v>
      </c>
      <c r="E12" s="3">
        <f>945581412*14000</f>
        <v>13238139768000</v>
      </c>
      <c r="F12">
        <f t="shared" si="0"/>
        <v>30.214123155659887</v>
      </c>
    </row>
    <row r="13" spans="1:6" x14ac:dyDescent="0.25">
      <c r="A13" s="5"/>
      <c r="B13" s="5"/>
      <c r="C13" s="6"/>
      <c r="D13">
        <v>2018</v>
      </c>
      <c r="E13" s="3">
        <f>1184094711*14000</f>
        <v>16577325954000</v>
      </c>
      <c r="F13">
        <f t="shared" si="0"/>
        <v>30.439056971205048</v>
      </c>
    </row>
    <row r="14" spans="1:6" x14ac:dyDescent="0.25">
      <c r="A14" s="5" t="s">
        <v>59</v>
      </c>
      <c r="B14" s="5" t="s">
        <v>14</v>
      </c>
      <c r="C14" s="6" t="s">
        <v>22</v>
      </c>
      <c r="D14">
        <v>2017</v>
      </c>
      <c r="E14" s="3">
        <v>457422862654</v>
      </c>
      <c r="F14">
        <f t="shared" si="0"/>
        <v>26.848874101225597</v>
      </c>
    </row>
    <row r="15" spans="1:6" x14ac:dyDescent="0.25">
      <c r="A15" s="5"/>
      <c r="B15" s="5"/>
      <c r="C15" s="6"/>
      <c r="D15">
        <v>2018</v>
      </c>
      <c r="E15" s="3">
        <v>573239122900</v>
      </c>
      <c r="F15">
        <f t="shared" si="0"/>
        <v>27.07456878406045</v>
      </c>
    </row>
    <row r="16" spans="1:6" x14ac:dyDescent="0.25">
      <c r="A16" s="5" t="s">
        <v>60</v>
      </c>
      <c r="B16" s="5" t="s">
        <v>23</v>
      </c>
      <c r="C16" s="6" t="s">
        <v>32</v>
      </c>
      <c r="D16">
        <v>2017</v>
      </c>
      <c r="E16" s="3">
        <f>590469384*14000</f>
        <v>8266571376000</v>
      </c>
      <c r="F16">
        <f t="shared" si="0"/>
        <v>29.743240953268163</v>
      </c>
    </row>
    <row r="17" spans="1:6" x14ac:dyDescent="0.25">
      <c r="A17" s="5"/>
      <c r="B17" s="5"/>
      <c r="C17" s="6"/>
      <c r="D17">
        <v>2018</v>
      </c>
      <c r="E17" s="3">
        <f>701046630*14000</f>
        <v>9814652820000</v>
      </c>
      <c r="F17">
        <f t="shared" si="0"/>
        <v>29.914897570642154</v>
      </c>
    </row>
    <row r="18" spans="1:6" x14ac:dyDescent="0.25">
      <c r="A18" s="5" t="s">
        <v>61</v>
      </c>
      <c r="B18" s="5" t="s">
        <v>25</v>
      </c>
      <c r="C18" s="6" t="s">
        <v>34</v>
      </c>
      <c r="D18">
        <v>2017</v>
      </c>
      <c r="E18" s="3">
        <f>459443071*14000</f>
        <v>6432202994000</v>
      </c>
      <c r="F18">
        <f t="shared" si="0"/>
        <v>29.492338207319644</v>
      </c>
    </row>
    <row r="19" spans="1:6" x14ac:dyDescent="0.25">
      <c r="A19" s="5"/>
      <c r="B19" s="5"/>
      <c r="C19" s="6"/>
      <c r="D19">
        <v>2018</v>
      </c>
      <c r="E19" s="3">
        <f>467989195*14000</f>
        <v>6551848730000</v>
      </c>
      <c r="F19">
        <f t="shared" si="0"/>
        <v>29.510768374605956</v>
      </c>
    </row>
    <row r="20" spans="1:6" x14ac:dyDescent="0.25">
      <c r="A20" s="5" t="s">
        <v>62</v>
      </c>
      <c r="B20" s="5" t="s">
        <v>26</v>
      </c>
      <c r="C20" s="6" t="s">
        <v>35</v>
      </c>
      <c r="D20">
        <v>2017</v>
      </c>
      <c r="E20" s="3">
        <f>1358663*14000</f>
        <v>19021282000</v>
      </c>
      <c r="F20">
        <f t="shared" si="0"/>
        <v>23.668824294526157</v>
      </c>
    </row>
    <row r="21" spans="1:6" x14ac:dyDescent="0.25">
      <c r="A21" s="5"/>
      <c r="B21" s="5"/>
      <c r="C21" s="6"/>
      <c r="D21">
        <v>2018</v>
      </c>
      <c r="E21" s="3">
        <f>1442728*14000</f>
        <v>20198192000</v>
      </c>
      <c r="F21">
        <f t="shared" si="0"/>
        <v>23.728858932397269</v>
      </c>
    </row>
    <row r="22" spans="1:6" x14ac:dyDescent="0.25">
      <c r="A22" s="5" t="s">
        <v>63</v>
      </c>
      <c r="B22" s="5" t="s">
        <v>28</v>
      </c>
      <c r="C22" s="6" t="s">
        <v>37</v>
      </c>
      <c r="D22">
        <v>2017</v>
      </c>
      <c r="E22" s="3">
        <f>160778962*14000</f>
        <v>2250905468000</v>
      </c>
      <c r="F22">
        <f t="shared" si="0"/>
        <v>28.442353681413774</v>
      </c>
    </row>
    <row r="23" spans="1:6" x14ac:dyDescent="0.25">
      <c r="A23" s="5"/>
      <c r="B23" s="5"/>
      <c r="C23" s="6"/>
      <c r="D23">
        <v>2018</v>
      </c>
      <c r="E23" s="3">
        <f>173509262*14000</f>
        <v>2429129668000</v>
      </c>
      <c r="F23">
        <f t="shared" si="0"/>
        <v>28.518554147809049</v>
      </c>
    </row>
    <row r="24" spans="1:6" x14ac:dyDescent="0.25">
      <c r="A24" s="5" t="s">
        <v>64</v>
      </c>
      <c r="B24" s="5" t="s">
        <v>29</v>
      </c>
      <c r="C24" s="6" t="s">
        <v>38</v>
      </c>
      <c r="D24">
        <v>2017</v>
      </c>
      <c r="E24" s="3">
        <f>136067975*14000</f>
        <v>1904951650000</v>
      </c>
      <c r="F24">
        <f t="shared" si="0"/>
        <v>28.275477743607691</v>
      </c>
    </row>
    <row r="25" spans="1:6" x14ac:dyDescent="0.25">
      <c r="A25" s="5"/>
      <c r="B25" s="5"/>
      <c r="C25" s="6"/>
      <c r="D25">
        <v>2018</v>
      </c>
      <c r="E25" s="3">
        <f>151326098*14000</f>
        <v>2118565372000</v>
      </c>
      <c r="F25">
        <f t="shared" si="0"/>
        <v>28.38176026421926</v>
      </c>
    </row>
    <row r="26" spans="1:6" x14ac:dyDescent="0.25">
      <c r="A26" s="5" t="s">
        <v>65</v>
      </c>
      <c r="B26" s="5" t="s">
        <v>30</v>
      </c>
      <c r="C26" s="6" t="s">
        <v>39</v>
      </c>
      <c r="D26">
        <v>2017</v>
      </c>
      <c r="E26" s="3">
        <v>137363302000</v>
      </c>
      <c r="F26">
        <f t="shared" si="0"/>
        <v>25.645895092268248</v>
      </c>
    </row>
    <row r="27" spans="1:6" x14ac:dyDescent="0.25">
      <c r="A27" s="5"/>
      <c r="B27" s="5"/>
      <c r="C27" s="6"/>
      <c r="D27">
        <v>2018</v>
      </c>
      <c r="E27" s="3">
        <f>127894510000</f>
        <v>127894510000</v>
      </c>
      <c r="F27">
        <f t="shared" si="0"/>
        <v>25.574471620450442</v>
      </c>
    </row>
    <row r="28" spans="1:6" x14ac:dyDescent="0.25">
      <c r="A28" s="5" t="s">
        <v>66</v>
      </c>
      <c r="B28" s="5" t="s">
        <v>31</v>
      </c>
      <c r="C28" s="6" t="s">
        <v>40</v>
      </c>
      <c r="D28">
        <v>2017</v>
      </c>
      <c r="E28" s="3">
        <v>21987482000000</v>
      </c>
      <c r="F28">
        <f t="shared" si="0"/>
        <v>30.721494407344931</v>
      </c>
    </row>
    <row r="29" spans="1:6" x14ac:dyDescent="0.25">
      <c r="A29" s="5"/>
      <c r="B29" s="5"/>
      <c r="C29" s="6"/>
      <c r="D29">
        <v>2018</v>
      </c>
      <c r="E29" s="3">
        <v>24172933000000</v>
      </c>
      <c r="F29">
        <f t="shared" si="0"/>
        <v>30.81625465206125</v>
      </c>
    </row>
    <row r="30" spans="1:6" x14ac:dyDescent="0.25">
      <c r="A30" s="5" t="s">
        <v>67</v>
      </c>
      <c r="B30" s="5" t="s">
        <v>48</v>
      </c>
      <c r="C30" s="6" t="s">
        <v>41</v>
      </c>
      <c r="D30">
        <v>2017</v>
      </c>
      <c r="E30" s="3">
        <f>436844000*14000</f>
        <v>6115816000000</v>
      </c>
      <c r="F30">
        <f t="shared" si="0"/>
        <v>29.441899318519908</v>
      </c>
    </row>
    <row r="31" spans="1:6" x14ac:dyDescent="0.25">
      <c r="A31" s="5"/>
      <c r="B31" s="5"/>
      <c r="C31" s="6"/>
      <c r="D31">
        <v>2018</v>
      </c>
      <c r="E31" s="3">
        <f>555591000*14000</f>
        <v>7778274000000</v>
      </c>
      <c r="F31">
        <f t="shared" si="0"/>
        <v>29.682355578606554</v>
      </c>
    </row>
    <row r="32" spans="1:6" x14ac:dyDescent="0.25">
      <c r="A32" s="5" t="s">
        <v>68</v>
      </c>
      <c r="B32" s="5" t="s">
        <v>42</v>
      </c>
      <c r="C32" s="6" t="s">
        <v>43</v>
      </c>
      <c r="D32">
        <v>2017</v>
      </c>
      <c r="E32" s="3">
        <v>725663914382</v>
      </c>
      <c r="F32">
        <f t="shared" si="0"/>
        <v>27.310352816738547</v>
      </c>
    </row>
    <row r="33" spans="1:6" x14ac:dyDescent="0.25">
      <c r="A33" s="5"/>
      <c r="B33" s="5"/>
      <c r="C33" s="6"/>
      <c r="D33">
        <v>2018</v>
      </c>
      <c r="E33" s="3">
        <v>831965937268</v>
      </c>
      <c r="F33">
        <f t="shared" si="0"/>
        <v>27.447057336145868</v>
      </c>
    </row>
    <row r="34" spans="1:6" x14ac:dyDescent="0.25">
      <c r="A34" s="5" t="s">
        <v>69</v>
      </c>
      <c r="B34" s="5" t="s">
        <v>44</v>
      </c>
      <c r="C34" s="6" t="s">
        <v>45</v>
      </c>
      <c r="D34">
        <v>2017</v>
      </c>
      <c r="E34" s="3">
        <f>348338028*14000</f>
        <v>4876732392000</v>
      </c>
      <c r="F34">
        <f t="shared" si="0"/>
        <v>29.215496519713611</v>
      </c>
    </row>
    <row r="35" spans="1:6" x14ac:dyDescent="0.25">
      <c r="A35" s="5"/>
      <c r="B35" s="5"/>
      <c r="C35" s="6"/>
      <c r="D35">
        <v>2018</v>
      </c>
      <c r="E35" s="3">
        <f>501883194*14000</f>
        <v>7026364716000</v>
      </c>
      <c r="F35">
        <f t="shared" si="0"/>
        <v>29.580690577904011</v>
      </c>
    </row>
  </sheetData>
  <mergeCells count="51">
    <mergeCell ref="A34:A35"/>
    <mergeCell ref="B34:B35"/>
    <mergeCell ref="C34:C35"/>
    <mergeCell ref="A30:A31"/>
    <mergeCell ref="B30:B31"/>
    <mergeCell ref="C30:C31"/>
    <mergeCell ref="A32:A33"/>
    <mergeCell ref="B32:B33"/>
    <mergeCell ref="C32:C33"/>
    <mergeCell ref="A26:A27"/>
    <mergeCell ref="B26:B27"/>
    <mergeCell ref="C26:C27"/>
    <mergeCell ref="A28:A29"/>
    <mergeCell ref="B28:B29"/>
    <mergeCell ref="C28:C29"/>
    <mergeCell ref="A22:A23"/>
    <mergeCell ref="B22:B23"/>
    <mergeCell ref="C22:C23"/>
    <mergeCell ref="A24:A25"/>
    <mergeCell ref="B24:B25"/>
    <mergeCell ref="C24:C25"/>
    <mergeCell ref="A18:A19"/>
    <mergeCell ref="B18:B19"/>
    <mergeCell ref="C18:C19"/>
    <mergeCell ref="A20:A21"/>
    <mergeCell ref="B20:B21"/>
    <mergeCell ref="C20:C21"/>
    <mergeCell ref="A14:A15"/>
    <mergeCell ref="B14:B15"/>
    <mergeCell ref="C14:C15"/>
    <mergeCell ref="A16:A17"/>
    <mergeCell ref="B16:B17"/>
    <mergeCell ref="C16:C17"/>
    <mergeCell ref="A10:A11"/>
    <mergeCell ref="B10:B11"/>
    <mergeCell ref="C10:C11"/>
    <mergeCell ref="A12:A13"/>
    <mergeCell ref="B12:B13"/>
    <mergeCell ref="C12:C13"/>
    <mergeCell ref="A6:A7"/>
    <mergeCell ref="B6:B7"/>
    <mergeCell ref="C6:C7"/>
    <mergeCell ref="A8:A9"/>
    <mergeCell ref="B8:B9"/>
    <mergeCell ref="C8:C9"/>
    <mergeCell ref="A2:A3"/>
    <mergeCell ref="B2:B3"/>
    <mergeCell ref="C2:C3"/>
    <mergeCell ref="A4:A5"/>
    <mergeCell ref="B4:B5"/>
    <mergeCell ref="C4:C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EE6B3-4AE9-4E54-915A-B8CA6FB83D8F}">
  <dimension ref="A1:G35"/>
  <sheetViews>
    <sheetView topLeftCell="D1" workbookViewId="0">
      <selection activeCell="G1" sqref="G1:G1048576"/>
    </sheetView>
  </sheetViews>
  <sheetFormatPr defaultRowHeight="15" x14ac:dyDescent="0.25"/>
  <cols>
    <col min="1" max="1" width="4.7109375" style="1" customWidth="1"/>
    <col min="2" max="2" width="14.5703125" style="1" customWidth="1"/>
    <col min="3" max="3" width="40.5703125" customWidth="1"/>
    <col min="5" max="5" width="22.28515625" customWidth="1"/>
    <col min="6" max="6" width="22.5703125" customWidth="1"/>
    <col min="7" max="7" width="16.85546875" customWidth="1"/>
  </cols>
  <sheetData>
    <row r="1" spans="1:7" s="1" customFormat="1" x14ac:dyDescent="0.25">
      <c r="A1" s="1" t="s">
        <v>52</v>
      </c>
      <c r="B1" s="1" t="s">
        <v>2</v>
      </c>
      <c r="C1" s="1" t="s">
        <v>0</v>
      </c>
      <c r="D1" s="1" t="s">
        <v>49</v>
      </c>
      <c r="E1" s="1" t="s">
        <v>73</v>
      </c>
      <c r="F1" s="1" t="s">
        <v>50</v>
      </c>
      <c r="G1" s="1" t="s">
        <v>79</v>
      </c>
    </row>
    <row r="2" spans="1:7" x14ac:dyDescent="0.25">
      <c r="A2" s="5" t="s">
        <v>53</v>
      </c>
      <c r="B2" s="5" t="s">
        <v>3</v>
      </c>
      <c r="C2" s="6" t="s">
        <v>5</v>
      </c>
      <c r="D2">
        <v>2017</v>
      </c>
      <c r="E2" s="3">
        <f>2722520000*14000</f>
        <v>38115280000000</v>
      </c>
      <c r="F2" s="3">
        <f>4091627000*14000</f>
        <v>57282778000000</v>
      </c>
      <c r="G2">
        <f>(E2/F2)*100</f>
        <v>66.538812066691321</v>
      </c>
    </row>
    <row r="3" spans="1:7" x14ac:dyDescent="0.25">
      <c r="A3" s="5"/>
      <c r="B3" s="5"/>
      <c r="C3" s="6"/>
      <c r="D3">
        <v>2018</v>
      </c>
      <c r="E3" s="3">
        <f>2758063000*14000</f>
        <v>38612882000000</v>
      </c>
      <c r="F3" s="3">
        <f>4302692000*14000</f>
        <v>60237688000000</v>
      </c>
      <c r="G3">
        <f t="shared" ref="G3:G35" si="0">(E3/F3)*100</f>
        <v>64.100869874023061</v>
      </c>
    </row>
    <row r="4" spans="1:7" x14ac:dyDescent="0.25">
      <c r="A4" s="5" t="s">
        <v>54</v>
      </c>
      <c r="B4" s="5" t="s">
        <v>4</v>
      </c>
      <c r="C4" s="6" t="s">
        <v>6</v>
      </c>
      <c r="D4">
        <v>2017</v>
      </c>
      <c r="E4" s="3">
        <f>287290000*14000</f>
        <v>4022060000000</v>
      </c>
      <c r="F4" s="3">
        <f>39765000*14000</f>
        <v>556710000000</v>
      </c>
      <c r="G4">
        <f t="shared" si="0"/>
        <v>722.46950836162455</v>
      </c>
    </row>
    <row r="5" spans="1:7" x14ac:dyDescent="0.25">
      <c r="A5" s="5"/>
      <c r="B5" s="5"/>
      <c r="C5" s="6"/>
      <c r="D5">
        <v>2018</v>
      </c>
      <c r="E5" s="3">
        <f>340079000*14000</f>
        <v>4761106000000</v>
      </c>
      <c r="F5" s="3">
        <f>9986000*14000</f>
        <v>139804000000</v>
      </c>
      <c r="G5">
        <f t="shared" si="0"/>
        <v>3405.5577808932503</v>
      </c>
    </row>
    <row r="6" spans="1:7" x14ac:dyDescent="0.25">
      <c r="A6" s="5" t="s">
        <v>55</v>
      </c>
      <c r="B6" s="5" t="s">
        <v>9</v>
      </c>
      <c r="C6" s="6" t="s">
        <v>17</v>
      </c>
      <c r="D6">
        <v>2017</v>
      </c>
      <c r="E6" s="3">
        <f>60246779*14000</f>
        <v>843454906000</v>
      </c>
      <c r="F6" s="3">
        <f>149890675*14000</f>
        <v>2098469450000</v>
      </c>
      <c r="G6">
        <f t="shared" si="0"/>
        <v>40.193813924715464</v>
      </c>
    </row>
    <row r="7" spans="1:7" x14ac:dyDescent="0.25">
      <c r="A7" s="5"/>
      <c r="B7" s="5"/>
      <c r="C7" s="6"/>
      <c r="D7">
        <v>2018</v>
      </c>
      <c r="E7" s="3">
        <f>94820865*14000</f>
        <v>1327492110000</v>
      </c>
      <c r="F7" s="3">
        <f>150278353*14000</f>
        <v>2103896942000</v>
      </c>
      <c r="G7">
        <f t="shared" si="0"/>
        <v>63.096822068578298</v>
      </c>
    </row>
    <row r="8" spans="1:7" x14ac:dyDescent="0.25">
      <c r="A8" s="5" t="s">
        <v>56</v>
      </c>
      <c r="B8" s="5" t="s">
        <v>10</v>
      </c>
      <c r="C8" s="6" t="s">
        <v>18</v>
      </c>
      <c r="D8">
        <v>2017</v>
      </c>
      <c r="E8" s="3">
        <f>3410147622*14000</f>
        <v>47742066708000</v>
      </c>
      <c r="F8" s="3">
        <f>286351002*14000</f>
        <v>4008914028000</v>
      </c>
      <c r="G8">
        <f t="shared" si="0"/>
        <v>1190.8977437417873</v>
      </c>
    </row>
    <row r="9" spans="1:7" x14ac:dyDescent="0.25">
      <c r="A9" s="5"/>
      <c r="B9" s="5"/>
      <c r="C9" s="6"/>
      <c r="D9">
        <v>2018</v>
      </c>
      <c r="E9" s="3">
        <f>3403162098*14000</f>
        <v>47644269372000</v>
      </c>
      <c r="F9" s="3">
        <f>503611841*14000</f>
        <v>7050565774000</v>
      </c>
      <c r="G9">
        <f t="shared" si="0"/>
        <v>675.75100919837189</v>
      </c>
    </row>
    <row r="10" spans="1:7" x14ac:dyDescent="0.25">
      <c r="A10" s="5" t="s">
        <v>57</v>
      </c>
      <c r="B10" s="5" t="s">
        <v>11</v>
      </c>
      <c r="C10" s="6" t="s">
        <v>19</v>
      </c>
      <c r="D10">
        <v>2017</v>
      </c>
      <c r="E10" s="3">
        <f>373209321*14000</f>
        <v>5224930494000</v>
      </c>
      <c r="F10" s="3">
        <f>515603819*14000</f>
        <v>7218453466000</v>
      </c>
      <c r="G10">
        <f t="shared" si="0"/>
        <v>72.382962896556819</v>
      </c>
    </row>
    <row r="11" spans="1:7" x14ac:dyDescent="0.25">
      <c r="A11" s="5"/>
      <c r="B11" s="5"/>
      <c r="C11" s="6"/>
      <c r="D11">
        <v>2018</v>
      </c>
      <c r="E11" s="3">
        <f>472793557*14000</f>
        <v>6619109798000</v>
      </c>
      <c r="F11" s="3">
        <f>678070334*14000</f>
        <v>9492984676000</v>
      </c>
      <c r="G11">
        <f t="shared" si="0"/>
        <v>69.726329746789943</v>
      </c>
    </row>
    <row r="12" spans="1:7" x14ac:dyDescent="0.25">
      <c r="A12" s="5" t="s">
        <v>58</v>
      </c>
      <c r="B12" s="5" t="s">
        <v>13</v>
      </c>
      <c r="C12" s="6" t="s">
        <v>21</v>
      </c>
      <c r="D12">
        <v>2017</v>
      </c>
      <c r="E12" s="3">
        <f>768413436*14000</f>
        <v>10757788104000</v>
      </c>
      <c r="F12" s="3">
        <f>177167976*14000</f>
        <v>2480351664000</v>
      </c>
      <c r="G12">
        <f t="shared" si="0"/>
        <v>433.72027685183917</v>
      </c>
    </row>
    <row r="13" spans="1:7" x14ac:dyDescent="0.25">
      <c r="A13" s="5"/>
      <c r="B13" s="5"/>
      <c r="C13" s="6"/>
      <c r="D13">
        <v>2018</v>
      </c>
      <c r="E13" s="3">
        <f>922583702*14000</f>
        <v>12916171828000</v>
      </c>
      <c r="F13" s="3">
        <f>261511009*14000</f>
        <v>3661154126000</v>
      </c>
      <c r="G13">
        <f t="shared" si="0"/>
        <v>352.78962271144769</v>
      </c>
    </row>
    <row r="14" spans="1:7" x14ac:dyDescent="0.25">
      <c r="A14" s="5" t="s">
        <v>59</v>
      </c>
      <c r="B14" s="5" t="s">
        <v>14</v>
      </c>
      <c r="C14" s="6" t="s">
        <v>22</v>
      </c>
      <c r="D14">
        <v>2017</v>
      </c>
      <c r="E14" s="3">
        <v>232927380687</v>
      </c>
      <c r="F14" s="3">
        <v>224495481967</v>
      </c>
      <c r="G14">
        <f t="shared" si="0"/>
        <v>103.75593247851617</v>
      </c>
    </row>
    <row r="15" spans="1:7" x14ac:dyDescent="0.25">
      <c r="A15" s="5"/>
      <c r="B15" s="5"/>
      <c r="C15" s="6"/>
      <c r="D15">
        <v>2018</v>
      </c>
      <c r="E15" s="3">
        <v>250001554441</v>
      </c>
      <c r="F15" s="3">
        <v>323237568459</v>
      </c>
      <c r="G15">
        <f t="shared" si="0"/>
        <v>77.342975828229143</v>
      </c>
    </row>
    <row r="16" spans="1:7" x14ac:dyDescent="0.25">
      <c r="A16" s="5" t="s">
        <v>60</v>
      </c>
      <c r="B16" s="5" t="s">
        <v>23</v>
      </c>
      <c r="C16" s="6" t="s">
        <v>32</v>
      </c>
      <c r="D16">
        <v>2017</v>
      </c>
      <c r="E16" s="3">
        <f>298251273*14000</f>
        <v>4175517822000</v>
      </c>
      <c r="F16" s="3">
        <f>292218111*14000</f>
        <v>4091053554000</v>
      </c>
      <c r="G16">
        <f t="shared" si="0"/>
        <v>102.06460919870909</v>
      </c>
    </row>
    <row r="17" spans="1:7" x14ac:dyDescent="0.25">
      <c r="A17" s="5"/>
      <c r="B17" s="5"/>
      <c r="C17" s="6"/>
      <c r="D17">
        <v>2018</v>
      </c>
      <c r="E17" s="3">
        <f>385233714*14000</f>
        <v>5393271996000</v>
      </c>
      <c r="F17" s="3">
        <f>315812916*14000</f>
        <v>4421380824000</v>
      </c>
      <c r="G17">
        <f t="shared" si="0"/>
        <v>121.9816209163529</v>
      </c>
    </row>
    <row r="18" spans="1:7" x14ac:dyDescent="0.25">
      <c r="A18" s="5" t="s">
        <v>61</v>
      </c>
      <c r="B18" s="5" t="s">
        <v>25</v>
      </c>
      <c r="C18" s="6" t="s">
        <v>34</v>
      </c>
      <c r="D18">
        <v>2017</v>
      </c>
      <c r="E18" s="3">
        <f>63582349*14000</f>
        <v>890152886000</v>
      </c>
      <c r="F18" s="4">
        <f>395860722*14000</f>
        <v>5542050108000</v>
      </c>
      <c r="G18">
        <f t="shared" si="0"/>
        <v>16.061797866371798</v>
      </c>
    </row>
    <row r="19" spans="1:7" x14ac:dyDescent="0.25">
      <c r="A19" s="5"/>
      <c r="B19" s="5"/>
      <c r="C19" s="6"/>
      <c r="D19">
        <v>2018</v>
      </c>
      <c r="E19" s="3">
        <f>79502404*14000</f>
        <v>1113033656000</v>
      </c>
      <c r="F19" s="3">
        <f>388486791*14000</f>
        <v>5438815074000</v>
      </c>
      <c r="G19">
        <f t="shared" si="0"/>
        <v>20.46463505113099</v>
      </c>
    </row>
    <row r="20" spans="1:7" x14ac:dyDescent="0.25">
      <c r="A20" s="5" t="s">
        <v>62</v>
      </c>
      <c r="B20" s="5" t="s">
        <v>26</v>
      </c>
      <c r="C20" s="6" t="s">
        <v>35</v>
      </c>
      <c r="D20">
        <v>2017</v>
      </c>
      <c r="E20" s="3">
        <f>400524*14000</f>
        <v>5607336000</v>
      </c>
      <c r="F20" s="3">
        <f>958139*14000</f>
        <v>13413946000</v>
      </c>
      <c r="G20">
        <f t="shared" si="0"/>
        <v>41.802285472149656</v>
      </c>
    </row>
    <row r="21" spans="1:7" x14ac:dyDescent="0.25">
      <c r="A21" s="5"/>
      <c r="B21" s="5"/>
      <c r="C21" s="6"/>
      <c r="D21">
        <v>2018</v>
      </c>
      <c r="E21" s="3">
        <f>472945*14000</f>
        <v>6621230000</v>
      </c>
      <c r="F21" s="3">
        <f>969783*14000</f>
        <v>13576962000</v>
      </c>
      <c r="G21">
        <f t="shared" si="0"/>
        <v>48.768126477779049</v>
      </c>
    </row>
    <row r="22" spans="1:7" x14ac:dyDescent="0.25">
      <c r="A22" s="5" t="s">
        <v>63</v>
      </c>
      <c r="B22" s="5" t="s">
        <v>28</v>
      </c>
      <c r="C22" s="6" t="s">
        <v>37</v>
      </c>
      <c r="D22">
        <v>2017</v>
      </c>
      <c r="E22" s="3">
        <f>38474621*14000</f>
        <v>538644694000</v>
      </c>
      <c r="F22" s="3">
        <f>122304341*14000</f>
        <v>1712260774000</v>
      </c>
      <c r="G22">
        <f t="shared" si="0"/>
        <v>31.458099267302376</v>
      </c>
    </row>
    <row r="23" spans="1:7" x14ac:dyDescent="0.25">
      <c r="A23" s="5"/>
      <c r="B23" s="5"/>
      <c r="C23" s="6"/>
      <c r="D23">
        <v>2018</v>
      </c>
      <c r="E23" s="3">
        <f>49328008*14000</f>
        <v>690592112000</v>
      </c>
      <c r="F23" s="3">
        <f>124181254*14000</f>
        <v>1738537556000</v>
      </c>
      <c r="G23">
        <f t="shared" si="0"/>
        <v>39.722588080806467</v>
      </c>
    </row>
    <row r="24" spans="1:7" x14ac:dyDescent="0.25">
      <c r="A24" s="5" t="s">
        <v>64</v>
      </c>
      <c r="B24" s="5" t="s">
        <v>29</v>
      </c>
      <c r="C24" s="6" t="s">
        <v>38</v>
      </c>
      <c r="D24">
        <v>2017</v>
      </c>
      <c r="E24" s="3">
        <f>33526632*14000</f>
        <v>469372848000</v>
      </c>
      <c r="F24" s="3">
        <f>102541343*14000</f>
        <v>1435578802000</v>
      </c>
      <c r="G24">
        <f t="shared" si="0"/>
        <v>32.695721568616477</v>
      </c>
    </row>
    <row r="25" spans="1:7" x14ac:dyDescent="0.25">
      <c r="A25" s="5"/>
      <c r="B25" s="5"/>
      <c r="C25" s="6"/>
      <c r="D25">
        <v>2018</v>
      </c>
      <c r="E25" s="3">
        <f>37338363*14000</f>
        <v>522737082000</v>
      </c>
      <c r="F25" s="3">
        <f>113987735*14000</f>
        <v>1595828290000</v>
      </c>
      <c r="G25">
        <f t="shared" si="0"/>
        <v>32.756474194350822</v>
      </c>
    </row>
    <row r="26" spans="1:7" x14ac:dyDescent="0.25">
      <c r="A26" s="5" t="s">
        <v>65</v>
      </c>
      <c r="B26" s="5" t="s">
        <v>30</v>
      </c>
      <c r="C26" s="6" t="s">
        <v>39</v>
      </c>
      <c r="D26">
        <v>2017</v>
      </c>
      <c r="E26" s="3">
        <f>3066607000+74973659000</f>
        <v>78040266000</v>
      </c>
      <c r="F26" s="3">
        <v>59323036000</v>
      </c>
      <c r="G26">
        <f t="shared" si="0"/>
        <v>131.55136901624522</v>
      </c>
    </row>
    <row r="27" spans="1:7" x14ac:dyDescent="0.25">
      <c r="A27" s="5"/>
      <c r="B27" s="5"/>
      <c r="C27" s="6"/>
      <c r="D27">
        <v>2018</v>
      </c>
      <c r="E27" s="3">
        <f>329996000+71985761000</f>
        <v>72315757000</v>
      </c>
      <c r="F27" s="3">
        <v>55578753000</v>
      </c>
      <c r="G27">
        <f t="shared" si="0"/>
        <v>130.1140329650793</v>
      </c>
    </row>
    <row r="28" spans="1:7" x14ac:dyDescent="0.25">
      <c r="A28" s="5" t="s">
        <v>66</v>
      </c>
      <c r="B28" s="5" t="s">
        <v>31</v>
      </c>
      <c r="C28" s="6" t="s">
        <v>40</v>
      </c>
      <c r="D28">
        <v>2017</v>
      </c>
      <c r="E28" s="3">
        <v>8187497000000</v>
      </c>
      <c r="F28" s="3">
        <v>13799985000000</v>
      </c>
      <c r="G28">
        <f t="shared" si="0"/>
        <v>59.329752894658938</v>
      </c>
    </row>
    <row r="29" spans="1:7" x14ac:dyDescent="0.25">
      <c r="A29" s="5"/>
      <c r="B29" s="5"/>
      <c r="C29" s="6"/>
      <c r="D29">
        <v>2018</v>
      </c>
      <c r="E29" s="3">
        <v>7903237000000</v>
      </c>
      <c r="F29" s="3">
        <v>16269969000000</v>
      </c>
      <c r="G29">
        <f t="shared" si="0"/>
        <v>48.575611914196024</v>
      </c>
    </row>
    <row r="30" spans="1:7" x14ac:dyDescent="0.25">
      <c r="A30" s="5" t="s">
        <v>67</v>
      </c>
      <c r="B30" s="5" t="s">
        <v>48</v>
      </c>
      <c r="C30" s="6" t="s">
        <v>41</v>
      </c>
      <c r="D30">
        <v>2017</v>
      </c>
      <c r="E30" s="3">
        <f>258309000*14000</f>
        <v>3616326000000</v>
      </c>
      <c r="F30" s="3">
        <f>178535000*14000</f>
        <v>2499490000000</v>
      </c>
      <c r="G30">
        <f t="shared" si="0"/>
        <v>144.68255524126923</v>
      </c>
    </row>
    <row r="31" spans="1:7" x14ac:dyDescent="0.25">
      <c r="A31" s="5"/>
      <c r="B31" s="5"/>
      <c r="C31" s="6"/>
      <c r="D31">
        <v>2018</v>
      </c>
      <c r="E31" s="3">
        <f>364459000*14000</f>
        <v>5102426000000</v>
      </c>
      <c r="F31" s="3">
        <f>191132000*14000</f>
        <v>2675848000000</v>
      </c>
      <c r="G31">
        <f t="shared" si="0"/>
        <v>190.6844484440073</v>
      </c>
    </row>
    <row r="32" spans="1:7" x14ac:dyDescent="0.25">
      <c r="A32" s="5" t="s">
        <v>68</v>
      </c>
      <c r="B32" s="5" t="s">
        <v>42</v>
      </c>
      <c r="C32" s="6" t="s">
        <v>43</v>
      </c>
      <c r="D32">
        <v>2017</v>
      </c>
      <c r="E32" s="3">
        <v>306303664687</v>
      </c>
      <c r="F32" s="3">
        <v>419360249695</v>
      </c>
      <c r="G32">
        <f t="shared" si="0"/>
        <v>73.040700664827952</v>
      </c>
    </row>
    <row r="33" spans="1:7" x14ac:dyDescent="0.25">
      <c r="A33" s="5"/>
      <c r="B33" s="5"/>
      <c r="C33" s="6"/>
      <c r="D33">
        <v>2018</v>
      </c>
      <c r="E33" s="3">
        <v>342430970325</v>
      </c>
      <c r="F33" s="3">
        <v>489534966943</v>
      </c>
      <c r="G33">
        <f t="shared" si="0"/>
        <v>69.950257580858704</v>
      </c>
    </row>
    <row r="34" spans="1:7" x14ac:dyDescent="0.25">
      <c r="A34" s="5" t="s">
        <v>69</v>
      </c>
      <c r="B34" s="5" t="s">
        <v>44</v>
      </c>
      <c r="C34" s="6" t="s">
        <v>45</v>
      </c>
      <c r="D34">
        <v>2017</v>
      </c>
      <c r="E34" s="3">
        <f>173538605*14000</f>
        <v>2429540470000</v>
      </c>
      <c r="F34" s="3">
        <f>174799423*14000</f>
        <v>2447191922000</v>
      </c>
      <c r="G34">
        <f t="shared" si="0"/>
        <v>99.278705857055371</v>
      </c>
    </row>
    <row r="35" spans="1:7" x14ac:dyDescent="0.25">
      <c r="A35" s="5"/>
      <c r="B35" s="5"/>
      <c r="C35" s="6"/>
      <c r="D35">
        <v>2018</v>
      </c>
      <c r="E35" s="3">
        <f>286259322*14000</f>
        <v>4007630508000</v>
      </c>
      <c r="F35" s="3">
        <f>215623872*14000</f>
        <v>3018734208000</v>
      </c>
      <c r="G35">
        <f t="shared" si="0"/>
        <v>132.75864093563814</v>
      </c>
    </row>
  </sheetData>
  <mergeCells count="51">
    <mergeCell ref="A34:A35"/>
    <mergeCell ref="B34:B35"/>
    <mergeCell ref="C34:C35"/>
    <mergeCell ref="A30:A31"/>
    <mergeCell ref="B30:B31"/>
    <mergeCell ref="C30:C31"/>
    <mergeCell ref="A32:A33"/>
    <mergeCell ref="B32:B33"/>
    <mergeCell ref="C32:C33"/>
    <mergeCell ref="A26:A27"/>
    <mergeCell ref="B26:B27"/>
    <mergeCell ref="C26:C27"/>
    <mergeCell ref="A28:A29"/>
    <mergeCell ref="B28:B29"/>
    <mergeCell ref="C28:C29"/>
    <mergeCell ref="A22:A23"/>
    <mergeCell ref="B22:B23"/>
    <mergeCell ref="C22:C23"/>
    <mergeCell ref="A24:A25"/>
    <mergeCell ref="B24:B25"/>
    <mergeCell ref="C24:C25"/>
    <mergeCell ref="A18:A19"/>
    <mergeCell ref="B18:B19"/>
    <mergeCell ref="C18:C19"/>
    <mergeCell ref="A20:A21"/>
    <mergeCell ref="B20:B21"/>
    <mergeCell ref="C20:C21"/>
    <mergeCell ref="A14:A15"/>
    <mergeCell ref="B14:B15"/>
    <mergeCell ref="C14:C15"/>
    <mergeCell ref="A16:A17"/>
    <mergeCell ref="B16:B17"/>
    <mergeCell ref="C16:C17"/>
    <mergeCell ref="A10:A11"/>
    <mergeCell ref="B10:B11"/>
    <mergeCell ref="C10:C11"/>
    <mergeCell ref="A12:A13"/>
    <mergeCell ref="B12:B13"/>
    <mergeCell ref="C12:C13"/>
    <mergeCell ref="A6:A7"/>
    <mergeCell ref="B6:B7"/>
    <mergeCell ref="C6:C7"/>
    <mergeCell ref="A8:A9"/>
    <mergeCell ref="B8:B9"/>
    <mergeCell ref="C8:C9"/>
    <mergeCell ref="A2:A3"/>
    <mergeCell ref="B2:B3"/>
    <mergeCell ref="C2:C3"/>
    <mergeCell ref="A4:A5"/>
    <mergeCell ref="B4:B5"/>
    <mergeCell ref="C4:C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01946-47AB-4F1F-9F5F-79FF6F4B6C77}">
  <dimension ref="A1:F35"/>
  <sheetViews>
    <sheetView topLeftCell="C1" workbookViewId="0">
      <selection activeCell="F1" sqref="F1:F1048576"/>
    </sheetView>
  </sheetViews>
  <sheetFormatPr defaultRowHeight="15" x14ac:dyDescent="0.25"/>
  <cols>
    <col min="1" max="1" width="4.7109375" style="1" customWidth="1"/>
    <col min="2" max="2" width="14.5703125" style="1" customWidth="1"/>
    <col min="3" max="3" width="40.5703125" customWidth="1"/>
    <col min="5" max="5" width="16.42578125" customWidth="1"/>
    <col min="6" max="6" width="16.5703125" customWidth="1"/>
  </cols>
  <sheetData>
    <row r="1" spans="1:6" s="1" customFormat="1" x14ac:dyDescent="0.25">
      <c r="A1" s="1" t="s">
        <v>52</v>
      </c>
      <c r="B1" s="1" t="s">
        <v>2</v>
      </c>
      <c r="C1" s="1" t="s">
        <v>0</v>
      </c>
      <c r="D1" s="1" t="s">
        <v>49</v>
      </c>
      <c r="E1" s="1" t="s">
        <v>74</v>
      </c>
      <c r="F1" s="1" t="s">
        <v>80</v>
      </c>
    </row>
    <row r="2" spans="1:6" x14ac:dyDescent="0.25">
      <c r="A2" s="5" t="s">
        <v>53</v>
      </c>
      <c r="B2" s="5" t="s">
        <v>3</v>
      </c>
      <c r="C2" s="6" t="s">
        <v>5</v>
      </c>
      <c r="D2">
        <v>2017</v>
      </c>
      <c r="E2" s="3">
        <f>68*14000</f>
        <v>952000</v>
      </c>
      <c r="F2">
        <f>LN(E2)</f>
        <v>13.766320313773502</v>
      </c>
    </row>
    <row r="3" spans="1:6" x14ac:dyDescent="0.25">
      <c r="A3" s="5"/>
      <c r="B3" s="5"/>
      <c r="C3" s="6"/>
      <c r="D3">
        <v>2018</v>
      </c>
      <c r="E3" s="3">
        <f>66*14000</f>
        <v>924000</v>
      </c>
      <c r="F3">
        <f t="shared" ref="F3:F35" si="0">LN(E3)</f>
        <v>13.736467350623821</v>
      </c>
    </row>
    <row r="4" spans="1:6" x14ac:dyDescent="0.25">
      <c r="A4" s="5" t="s">
        <v>54</v>
      </c>
      <c r="B4" s="5" t="s">
        <v>4</v>
      </c>
      <c r="C4" s="6" t="s">
        <v>6</v>
      </c>
      <c r="D4">
        <v>2017</v>
      </c>
      <c r="E4" s="3">
        <f>155*14000</f>
        <v>2170000</v>
      </c>
      <c r="F4">
        <f t="shared" si="0"/>
        <v>14.590237725516642</v>
      </c>
    </row>
    <row r="5" spans="1:6" x14ac:dyDescent="0.25">
      <c r="A5" s="5"/>
      <c r="B5" s="5"/>
      <c r="C5" s="6"/>
      <c r="D5">
        <v>2018</v>
      </c>
      <c r="E5" s="3">
        <f>111*14000</f>
        <v>1554000</v>
      </c>
      <c r="F5">
        <f t="shared" si="0"/>
        <v>14.25634280990973</v>
      </c>
    </row>
    <row r="6" spans="1:6" x14ac:dyDescent="0.25">
      <c r="A6" s="5" t="s">
        <v>55</v>
      </c>
      <c r="B6" s="5" t="s">
        <v>9</v>
      </c>
      <c r="C6" s="6" t="s">
        <v>17</v>
      </c>
      <c r="D6">
        <v>2017</v>
      </c>
      <c r="E6" s="3">
        <v>42370</v>
      </c>
      <c r="F6">
        <f t="shared" si="0"/>
        <v>10.654195843620604</v>
      </c>
    </row>
    <row r="7" spans="1:6" x14ac:dyDescent="0.25">
      <c r="A7" s="5"/>
      <c r="B7" s="5"/>
      <c r="C7" s="6"/>
      <c r="D7">
        <v>2018</v>
      </c>
      <c r="E7" s="3">
        <v>20234</v>
      </c>
      <c r="F7">
        <f t="shared" si="0"/>
        <v>9.9151196367658354</v>
      </c>
    </row>
    <row r="8" spans="1:6" x14ac:dyDescent="0.25">
      <c r="A8" s="5" t="s">
        <v>56</v>
      </c>
      <c r="B8" s="5" t="s">
        <v>10</v>
      </c>
      <c r="C8" s="6" t="s">
        <v>18</v>
      </c>
      <c r="D8">
        <v>2017</v>
      </c>
      <c r="E8" s="3">
        <f>92519</f>
        <v>92519</v>
      </c>
      <c r="F8">
        <f t="shared" si="0"/>
        <v>11.435169307813119</v>
      </c>
    </row>
    <row r="9" spans="1:6" x14ac:dyDescent="0.25">
      <c r="A9" s="5"/>
      <c r="B9" s="5"/>
      <c r="C9" s="6"/>
      <c r="D9">
        <v>2018</v>
      </c>
      <c r="E9" s="3">
        <f>119791</f>
        <v>119791</v>
      </c>
      <c r="F9">
        <f t="shared" si="0"/>
        <v>11.693503836632765</v>
      </c>
    </row>
    <row r="10" spans="1:6" x14ac:dyDescent="0.25">
      <c r="A10" s="5" t="s">
        <v>57</v>
      </c>
      <c r="B10" s="5" t="s">
        <v>11</v>
      </c>
      <c r="C10" s="6" t="s">
        <v>19</v>
      </c>
      <c r="D10">
        <v>2017</v>
      </c>
      <c r="E10" s="3">
        <v>1758642</v>
      </c>
      <c r="F10">
        <f t="shared" si="0"/>
        <v>14.380052478275767</v>
      </c>
    </row>
    <row r="11" spans="1:6" x14ac:dyDescent="0.25">
      <c r="A11" s="5"/>
      <c r="B11" s="5"/>
      <c r="C11" s="6"/>
      <c r="D11">
        <v>2018</v>
      </c>
      <c r="E11" s="3">
        <v>1284342</v>
      </c>
      <c r="F11">
        <f t="shared" si="0"/>
        <v>14.065757082905998</v>
      </c>
    </row>
    <row r="12" spans="1:6" x14ac:dyDescent="0.25">
      <c r="A12" s="5" t="s">
        <v>58</v>
      </c>
      <c r="B12" s="5" t="s">
        <v>13</v>
      </c>
      <c r="C12" s="6" t="s">
        <v>21</v>
      </c>
      <c r="D12">
        <v>2017</v>
      </c>
      <c r="E12" s="3">
        <v>1693037</v>
      </c>
      <c r="F12">
        <f t="shared" si="0"/>
        <v>14.342034515572267</v>
      </c>
    </row>
    <row r="13" spans="1:6" x14ac:dyDescent="0.25">
      <c r="A13" s="5"/>
      <c r="B13" s="5"/>
      <c r="C13" s="6"/>
      <c r="D13">
        <v>2018</v>
      </c>
      <c r="E13" s="3">
        <v>1731070</v>
      </c>
      <c r="F13">
        <f t="shared" si="0"/>
        <v>14.364250272393281</v>
      </c>
    </row>
    <row r="14" spans="1:6" x14ac:dyDescent="0.25">
      <c r="A14" s="5" t="s">
        <v>59</v>
      </c>
      <c r="B14" s="5" t="s">
        <v>14</v>
      </c>
      <c r="C14" s="6" t="s">
        <v>22</v>
      </c>
      <c r="D14">
        <v>2017</v>
      </c>
      <c r="E14" s="3">
        <v>94625469</v>
      </c>
      <c r="F14">
        <f t="shared" si="0"/>
        <v>18.365437226116473</v>
      </c>
    </row>
    <row r="15" spans="1:6" x14ac:dyDescent="0.25">
      <c r="A15" s="5"/>
      <c r="B15" s="5"/>
      <c r="C15" s="6"/>
      <c r="D15">
        <v>2018</v>
      </c>
      <c r="E15" s="3">
        <v>200604769</v>
      </c>
      <c r="F15">
        <f t="shared" si="0"/>
        <v>19.116847206888483</v>
      </c>
    </row>
    <row r="16" spans="1:6" x14ac:dyDescent="0.25">
      <c r="A16" s="5" t="s">
        <v>60</v>
      </c>
      <c r="B16" s="5" t="s">
        <v>23</v>
      </c>
      <c r="C16" s="6" t="s">
        <v>32</v>
      </c>
      <c r="D16">
        <v>2017</v>
      </c>
      <c r="E16" s="3">
        <v>99435</v>
      </c>
      <c r="F16">
        <f t="shared" si="0"/>
        <v>11.507259443343601</v>
      </c>
    </row>
    <row r="17" spans="1:6" x14ac:dyDescent="0.25">
      <c r="A17" s="5"/>
      <c r="B17" s="5"/>
      <c r="C17" s="6"/>
      <c r="D17">
        <v>2018</v>
      </c>
      <c r="E17" s="3">
        <v>121337</v>
      </c>
      <c r="F17">
        <f t="shared" si="0"/>
        <v>11.706327077274379</v>
      </c>
    </row>
    <row r="18" spans="1:6" x14ac:dyDescent="0.25">
      <c r="A18" s="5" t="s">
        <v>61</v>
      </c>
      <c r="B18" s="5" t="s">
        <v>25</v>
      </c>
      <c r="C18" s="6" t="s">
        <v>34</v>
      </c>
      <c r="D18">
        <v>2017</v>
      </c>
      <c r="E18" s="3">
        <v>1189086</v>
      </c>
      <c r="F18">
        <f t="shared" si="0"/>
        <v>13.988695502746067</v>
      </c>
    </row>
    <row r="19" spans="1:6" x14ac:dyDescent="0.25">
      <c r="A19" s="5"/>
      <c r="B19" s="5"/>
      <c r="C19" s="6"/>
      <c r="D19">
        <v>2018</v>
      </c>
      <c r="E19" s="3">
        <v>1099270</v>
      </c>
      <c r="F19">
        <f t="shared" si="0"/>
        <v>13.910156881100878</v>
      </c>
    </row>
    <row r="20" spans="1:6" x14ac:dyDescent="0.25">
      <c r="A20" s="5" t="s">
        <v>62</v>
      </c>
      <c r="B20" s="5" t="s">
        <v>26</v>
      </c>
      <c r="C20" s="6" t="s">
        <v>35</v>
      </c>
      <c r="D20">
        <v>2017</v>
      </c>
      <c r="E20" s="3">
        <v>514</v>
      </c>
      <c r="F20">
        <f t="shared" si="0"/>
        <v>6.2422232654551655</v>
      </c>
    </row>
    <row r="21" spans="1:6" x14ac:dyDescent="0.25">
      <c r="A21" s="5"/>
      <c r="B21" s="5"/>
      <c r="C21" s="6"/>
      <c r="D21">
        <v>2018</v>
      </c>
      <c r="E21" s="3">
        <v>491</v>
      </c>
      <c r="F21">
        <f t="shared" si="0"/>
        <v>6.1964441277945204</v>
      </c>
    </row>
    <row r="22" spans="1:6" x14ac:dyDescent="0.25">
      <c r="A22" s="5" t="s">
        <v>63</v>
      </c>
      <c r="B22" s="5" t="s">
        <v>28</v>
      </c>
      <c r="C22" s="6" t="s">
        <v>37</v>
      </c>
      <c r="D22">
        <v>2017</v>
      </c>
      <c r="E22" s="3">
        <v>119623</v>
      </c>
      <c r="F22">
        <f t="shared" si="0"/>
        <v>11.692100409702222</v>
      </c>
    </row>
    <row r="23" spans="1:6" x14ac:dyDescent="0.25">
      <c r="A23" s="5"/>
      <c r="B23" s="5"/>
      <c r="C23" s="6"/>
      <c r="D23">
        <v>2018</v>
      </c>
      <c r="E23" s="3">
        <v>164958</v>
      </c>
      <c r="F23">
        <f t="shared" si="0"/>
        <v>12.01344617502598</v>
      </c>
    </row>
    <row r="24" spans="1:6" x14ac:dyDescent="0.25">
      <c r="A24" s="5" t="s">
        <v>64</v>
      </c>
      <c r="B24" s="5" t="s">
        <v>29</v>
      </c>
      <c r="C24" s="6" t="s">
        <v>38</v>
      </c>
      <c r="D24">
        <v>2017</v>
      </c>
      <c r="E24" s="3">
        <v>88209</v>
      </c>
      <c r="F24">
        <f t="shared" si="0"/>
        <v>11.3874642776054</v>
      </c>
    </row>
    <row r="25" spans="1:6" x14ac:dyDescent="0.25">
      <c r="A25" s="5"/>
      <c r="B25" s="5"/>
      <c r="C25" s="6"/>
      <c r="D25">
        <v>2018</v>
      </c>
      <c r="E25" s="3">
        <v>64987</v>
      </c>
      <c r="F25">
        <f t="shared" si="0"/>
        <v>11.081942528875107</v>
      </c>
    </row>
    <row r="26" spans="1:6" x14ac:dyDescent="0.25">
      <c r="A26" s="5" t="s">
        <v>65</v>
      </c>
      <c r="B26" s="5" t="s">
        <v>30</v>
      </c>
      <c r="C26" s="6" t="s">
        <v>39</v>
      </c>
      <c r="D26">
        <v>2017</v>
      </c>
      <c r="E26" s="3">
        <v>291628</v>
      </c>
      <c r="F26">
        <f t="shared" si="0"/>
        <v>12.583234296454702</v>
      </c>
    </row>
    <row r="27" spans="1:6" x14ac:dyDescent="0.25">
      <c r="A27" s="5"/>
      <c r="B27" s="5"/>
      <c r="C27" s="6"/>
      <c r="D27">
        <v>2018</v>
      </c>
      <c r="E27" s="3">
        <v>39295</v>
      </c>
      <c r="F27">
        <f t="shared" si="0"/>
        <v>10.578852563300275</v>
      </c>
    </row>
    <row r="28" spans="1:6" x14ac:dyDescent="0.25">
      <c r="A28" s="5" t="s">
        <v>66</v>
      </c>
      <c r="B28" s="5" t="s">
        <v>31</v>
      </c>
      <c r="C28" s="6" t="s">
        <v>40</v>
      </c>
      <c r="D28">
        <v>2017</v>
      </c>
      <c r="E28" s="3">
        <v>521000000</v>
      </c>
      <c r="F28">
        <f t="shared" si="0"/>
        <v>20.07126059971764</v>
      </c>
    </row>
    <row r="29" spans="1:6" x14ac:dyDescent="0.25">
      <c r="A29" s="5"/>
      <c r="B29" s="5"/>
      <c r="C29" s="6"/>
      <c r="D29">
        <v>2018</v>
      </c>
      <c r="E29" s="3">
        <v>581000000</v>
      </c>
      <c r="F29">
        <f t="shared" si="0"/>
        <v>20.180261314816185</v>
      </c>
    </row>
    <row r="30" spans="1:6" x14ac:dyDescent="0.25">
      <c r="A30" s="5" t="s">
        <v>67</v>
      </c>
      <c r="B30" s="5" t="s">
        <v>48</v>
      </c>
      <c r="C30" s="6" t="s">
        <v>41</v>
      </c>
      <c r="D30">
        <v>2017</v>
      </c>
      <c r="E30" s="3">
        <f>48*14000</f>
        <v>672000</v>
      </c>
      <c r="F30">
        <f t="shared" si="0"/>
        <v>13.418013619505286</v>
      </c>
    </row>
    <row r="31" spans="1:6" x14ac:dyDescent="0.25">
      <c r="A31" s="5"/>
      <c r="B31" s="5"/>
      <c r="C31" s="6"/>
      <c r="D31">
        <v>2018</v>
      </c>
      <c r="E31" s="3">
        <f>39*14000</f>
        <v>546000</v>
      </c>
      <c r="F31">
        <f t="shared" si="0"/>
        <v>13.210374254727043</v>
      </c>
    </row>
    <row r="32" spans="1:6" x14ac:dyDescent="0.25">
      <c r="A32" s="5" t="s">
        <v>68</v>
      </c>
      <c r="B32" s="5" t="s">
        <v>42</v>
      </c>
      <c r="C32" s="6" t="s">
        <v>43</v>
      </c>
      <c r="D32">
        <v>2017</v>
      </c>
      <c r="E32" s="3">
        <v>98210000</v>
      </c>
      <c r="F32">
        <f t="shared" si="0"/>
        <v>18.402618601133955</v>
      </c>
    </row>
    <row r="33" spans="1:6" x14ac:dyDescent="0.25">
      <c r="A33" s="5"/>
      <c r="B33" s="5"/>
      <c r="C33" s="6"/>
      <c r="D33">
        <v>2018</v>
      </c>
      <c r="E33" s="3">
        <v>67250000</v>
      </c>
      <c r="F33">
        <f t="shared" si="0"/>
        <v>18.023927576446223</v>
      </c>
    </row>
    <row r="34" spans="1:6" x14ac:dyDescent="0.25">
      <c r="A34" s="5" t="s">
        <v>69</v>
      </c>
      <c r="B34" s="5" t="s">
        <v>44</v>
      </c>
      <c r="C34" s="6" t="s">
        <v>45</v>
      </c>
      <c r="D34">
        <v>2017</v>
      </c>
      <c r="E34" s="3">
        <v>13411</v>
      </c>
      <c r="F34">
        <f t="shared" si="0"/>
        <v>9.5038305447109401</v>
      </c>
    </row>
    <row r="35" spans="1:6" x14ac:dyDescent="0.25">
      <c r="A35" s="5"/>
      <c r="B35" s="5"/>
      <c r="C35" s="6"/>
      <c r="D35">
        <v>2018</v>
      </c>
      <c r="E35" s="3">
        <v>13758</v>
      </c>
      <c r="F35">
        <f t="shared" si="0"/>
        <v>9.5293757520859597</v>
      </c>
    </row>
  </sheetData>
  <mergeCells count="51">
    <mergeCell ref="A34:A35"/>
    <mergeCell ref="B34:B35"/>
    <mergeCell ref="C34:C35"/>
    <mergeCell ref="A30:A31"/>
    <mergeCell ref="B30:B31"/>
    <mergeCell ref="C30:C31"/>
    <mergeCell ref="A32:A33"/>
    <mergeCell ref="B32:B33"/>
    <mergeCell ref="C32:C33"/>
    <mergeCell ref="A26:A27"/>
    <mergeCell ref="B26:B27"/>
    <mergeCell ref="C26:C27"/>
    <mergeCell ref="A28:A29"/>
    <mergeCell ref="B28:B29"/>
    <mergeCell ref="C28:C29"/>
    <mergeCell ref="A22:A23"/>
    <mergeCell ref="B22:B23"/>
    <mergeCell ref="C22:C23"/>
    <mergeCell ref="A24:A25"/>
    <mergeCell ref="B24:B25"/>
    <mergeCell ref="C24:C25"/>
    <mergeCell ref="A18:A19"/>
    <mergeCell ref="B18:B19"/>
    <mergeCell ref="C18:C19"/>
    <mergeCell ref="A20:A21"/>
    <mergeCell ref="B20:B21"/>
    <mergeCell ref="C20:C21"/>
    <mergeCell ref="A14:A15"/>
    <mergeCell ref="B14:B15"/>
    <mergeCell ref="C14:C15"/>
    <mergeCell ref="A16:A17"/>
    <mergeCell ref="B16:B17"/>
    <mergeCell ref="C16:C17"/>
    <mergeCell ref="A10:A11"/>
    <mergeCell ref="B10:B11"/>
    <mergeCell ref="C10:C11"/>
    <mergeCell ref="A12:A13"/>
    <mergeCell ref="B12:B13"/>
    <mergeCell ref="C12:C13"/>
    <mergeCell ref="A6:A7"/>
    <mergeCell ref="B6:B7"/>
    <mergeCell ref="C6:C7"/>
    <mergeCell ref="A8:A9"/>
    <mergeCell ref="B8:B9"/>
    <mergeCell ref="C8:C9"/>
    <mergeCell ref="A2:A3"/>
    <mergeCell ref="B2:B3"/>
    <mergeCell ref="C2:C3"/>
    <mergeCell ref="A4:A5"/>
    <mergeCell ref="B4:B5"/>
    <mergeCell ref="C4:C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1DABE-08FA-4CAD-A7AF-DD1C0FB2B52E}">
  <dimension ref="A1:E35"/>
  <sheetViews>
    <sheetView tabSelected="1" workbookViewId="0">
      <selection activeCell="I13" sqref="I13"/>
    </sheetView>
  </sheetViews>
  <sheetFormatPr defaultRowHeight="15" x14ac:dyDescent="0.25"/>
  <cols>
    <col min="1" max="5" width="15.5703125" customWidth="1"/>
  </cols>
  <sheetData>
    <row r="1" spans="1:5" s="7" customFormat="1" x14ac:dyDescent="0.25">
      <c r="A1" s="7" t="s">
        <v>76</v>
      </c>
      <c r="B1" s="7" t="s">
        <v>77</v>
      </c>
      <c r="C1" s="7" t="s">
        <v>78</v>
      </c>
      <c r="D1" s="7" t="s">
        <v>79</v>
      </c>
      <c r="E1" s="7" t="s">
        <v>80</v>
      </c>
    </row>
    <row r="2" spans="1:5" x14ac:dyDescent="0.25">
      <c r="A2">
        <v>511.51748823660591</v>
      </c>
      <c r="B2">
        <v>7.8724160192024035</v>
      </c>
      <c r="C2">
        <v>32.189079337781465</v>
      </c>
      <c r="D2">
        <v>66.538812066691321</v>
      </c>
      <c r="E2">
        <v>13.766320313773502</v>
      </c>
    </row>
    <row r="3" spans="1:5" x14ac:dyDescent="0.25">
      <c r="A3">
        <v>537.90392049317757</v>
      </c>
      <c r="B3">
        <v>6.7633135549951815</v>
      </c>
      <c r="C3">
        <v>32.224630431841142</v>
      </c>
      <c r="D3">
        <v>64.100869874023061</v>
      </c>
      <c r="E3">
        <v>13.736467350623821</v>
      </c>
    </row>
    <row r="4" spans="1:5" x14ac:dyDescent="0.25">
      <c r="A4">
        <v>77.53621169916434</v>
      </c>
      <c r="B4">
        <v>-5.1113727048967297</v>
      </c>
      <c r="C4">
        <v>29.152451519034262</v>
      </c>
      <c r="D4">
        <v>722.46950836162455</v>
      </c>
      <c r="E4">
        <v>14.590237725516642</v>
      </c>
    </row>
    <row r="5" spans="1:5" x14ac:dyDescent="0.25">
      <c r="A5">
        <v>19.471309192200557</v>
      </c>
      <c r="B5">
        <v>-8.0722151600417078</v>
      </c>
      <c r="C5">
        <v>29.220442018088079</v>
      </c>
      <c r="D5">
        <v>3405.5577808932503</v>
      </c>
      <c r="E5">
        <v>14.25634280990973</v>
      </c>
    </row>
    <row r="6" spans="1:5" x14ac:dyDescent="0.25">
      <c r="A6">
        <v>180.64558601988551</v>
      </c>
      <c r="B6">
        <v>39.410836775437467</v>
      </c>
      <c r="C6">
        <v>28.710085026016532</v>
      </c>
      <c r="D6">
        <v>40.193813924715464</v>
      </c>
      <c r="E6">
        <v>10.654195843620604</v>
      </c>
    </row>
    <row r="7" spans="1:5" x14ac:dyDescent="0.25">
      <c r="A7">
        <v>181.11280867731244</v>
      </c>
      <c r="B7">
        <v>28.177533284937891</v>
      </c>
      <c r="C7">
        <v>28.863990281248803</v>
      </c>
      <c r="D7">
        <v>63.096822068578298</v>
      </c>
      <c r="E7">
        <v>9.9151196367658354</v>
      </c>
    </row>
    <row r="8" spans="1:5" x14ac:dyDescent="0.25">
      <c r="A8">
        <v>9.8642116443340289</v>
      </c>
      <c r="B8">
        <v>6.5669220441186891</v>
      </c>
      <c r="C8">
        <v>31.57746449931474</v>
      </c>
      <c r="D8">
        <v>1190.8977437417873</v>
      </c>
      <c r="E8">
        <v>11.435169307813119</v>
      </c>
    </row>
    <row r="9" spans="1:5" x14ac:dyDescent="0.25">
      <c r="A9">
        <v>16.198556839073643</v>
      </c>
      <c r="B9">
        <v>4.0498465350288084</v>
      </c>
      <c r="C9">
        <v>31.632790399435972</v>
      </c>
      <c r="D9">
        <v>675.75100919837189</v>
      </c>
      <c r="E9">
        <v>11.693503836632765</v>
      </c>
    </row>
    <row r="10" spans="1:5" x14ac:dyDescent="0.25">
      <c r="A10">
        <v>470.76869918729676</v>
      </c>
      <c r="B10">
        <v>38.030175723999761</v>
      </c>
      <c r="C10">
        <v>30.152210188756207</v>
      </c>
      <c r="D10">
        <v>72.382962896556819</v>
      </c>
      <c r="E10">
        <v>14.380052478275767</v>
      </c>
    </row>
    <row r="11" spans="1:5" x14ac:dyDescent="0.25">
      <c r="A11">
        <v>619.10768953143815</v>
      </c>
      <c r="B11">
        <v>54.247011995269915</v>
      </c>
      <c r="C11">
        <v>30.410591315467503</v>
      </c>
      <c r="D11">
        <v>69.726329746789943</v>
      </c>
      <c r="E11">
        <v>14.065757082905998</v>
      </c>
    </row>
    <row r="12" spans="1:5" x14ac:dyDescent="0.25">
      <c r="A12">
        <v>69.764233550565265</v>
      </c>
      <c r="B12">
        <v>4.9437626847089504</v>
      </c>
      <c r="C12">
        <v>30.214123155659887</v>
      </c>
      <c r="D12">
        <v>433.72027685183917</v>
      </c>
      <c r="E12">
        <v>14.342034515572267</v>
      </c>
    </row>
    <row r="13" spans="1:5" x14ac:dyDescent="0.25">
      <c r="A13">
        <v>102.80765930563049</v>
      </c>
      <c r="B13">
        <v>6.3882812157920368</v>
      </c>
      <c r="C13">
        <v>30.439056971205048</v>
      </c>
      <c r="D13">
        <v>352.78962271144769</v>
      </c>
      <c r="E13">
        <v>14.364250272393281</v>
      </c>
    </row>
    <row r="14" spans="1:5" x14ac:dyDescent="0.25">
      <c r="A14">
        <v>42.330157999366904</v>
      </c>
      <c r="B14">
        <v>-0.23046499400652146</v>
      </c>
      <c r="C14">
        <v>26.848874101225597</v>
      </c>
      <c r="D14">
        <v>103.75593247851617</v>
      </c>
      <c r="E14">
        <v>18.365437226116473</v>
      </c>
    </row>
    <row r="15" spans="1:5" x14ac:dyDescent="0.25">
      <c r="A15">
        <v>59.1383745624493</v>
      </c>
      <c r="B15">
        <v>-0.513011850643176</v>
      </c>
      <c r="C15">
        <v>27.07456878406045</v>
      </c>
      <c r="D15">
        <v>77.342975828229143</v>
      </c>
      <c r="E15">
        <v>19.116847206888483</v>
      </c>
    </row>
    <row r="16" spans="1:5" x14ac:dyDescent="0.25">
      <c r="A16">
        <v>158.06343240894674</v>
      </c>
      <c r="B16">
        <v>20.340773502322687</v>
      </c>
      <c r="C16">
        <v>29.743240953268163</v>
      </c>
      <c r="D16">
        <v>102.06460919870909</v>
      </c>
      <c r="E16">
        <v>11.507259443343601</v>
      </c>
    </row>
    <row r="17" spans="1:5" x14ac:dyDescent="0.25">
      <c r="A17">
        <v>170.82607690266801</v>
      </c>
      <c r="B17">
        <v>14.342637664487453</v>
      </c>
      <c r="C17">
        <v>29.914897570642154</v>
      </c>
      <c r="D17">
        <v>121.9816209163529</v>
      </c>
      <c r="E17">
        <v>11.706327077274379</v>
      </c>
    </row>
    <row r="18" spans="1:5" x14ac:dyDescent="0.25">
      <c r="A18">
        <v>436.25754769113058</v>
      </c>
      <c r="B18">
        <v>15.89554236633596</v>
      </c>
      <c r="C18">
        <v>29.492338207319644</v>
      </c>
      <c r="D18">
        <v>16.061797866371798</v>
      </c>
      <c r="E18">
        <v>13.988695502746067</v>
      </c>
    </row>
    <row r="19" spans="1:5" x14ac:dyDescent="0.25">
      <c r="A19">
        <v>428.13112120797064</v>
      </c>
      <c r="B19">
        <v>8.5911004847024302</v>
      </c>
      <c r="C19">
        <v>29.510768374605956</v>
      </c>
      <c r="D19">
        <v>20.46463505113099</v>
      </c>
      <c r="E19">
        <v>13.910156881100878</v>
      </c>
    </row>
    <row r="20" spans="1:5" x14ac:dyDescent="0.25">
      <c r="A20">
        <v>3.2479877963885544</v>
      </c>
      <c r="B20">
        <v>18.599387780487138</v>
      </c>
      <c r="C20">
        <v>23.668824294526157</v>
      </c>
      <c r="D20">
        <v>41.802285472149656</v>
      </c>
      <c r="E20">
        <v>6.2422232654551655</v>
      </c>
    </row>
    <row r="21" spans="1:5" x14ac:dyDescent="0.25">
      <c r="A21">
        <v>3.2874596996313494</v>
      </c>
      <c r="B21">
        <v>17.935189446659383</v>
      </c>
      <c r="C21">
        <v>23.728858932397269</v>
      </c>
      <c r="D21">
        <v>48.768126477779049</v>
      </c>
      <c r="E21">
        <v>6.1964441277945204</v>
      </c>
    </row>
    <row r="22" spans="1:5" x14ac:dyDescent="0.25">
      <c r="A22">
        <v>333.95161989254279</v>
      </c>
      <c r="B22">
        <v>36.469759022327807</v>
      </c>
      <c r="C22">
        <v>28.442353681413774</v>
      </c>
      <c r="D22">
        <v>31.458099267302376</v>
      </c>
      <c r="E22">
        <v>11.692100409702222</v>
      </c>
    </row>
    <row r="23" spans="1:5" x14ac:dyDescent="0.25">
      <c r="A23">
        <v>339.07652495823766</v>
      </c>
      <c r="B23">
        <v>28.995974866171697</v>
      </c>
      <c r="C23">
        <v>28.518554147809049</v>
      </c>
      <c r="D23">
        <v>39.722588080806467</v>
      </c>
      <c r="E23">
        <v>12.01344617502598</v>
      </c>
    </row>
    <row r="24" spans="1:5" x14ac:dyDescent="0.25">
      <c r="A24">
        <v>186.28608715257784</v>
      </c>
      <c r="B24">
        <v>9.0442707036685146</v>
      </c>
      <c r="C24">
        <v>28.275477743607691</v>
      </c>
      <c r="D24">
        <v>32.695721568616477</v>
      </c>
      <c r="E24">
        <v>11.3874642776054</v>
      </c>
    </row>
    <row r="25" spans="1:5" x14ac:dyDescent="0.25">
      <c r="A25">
        <v>207.08066147070988</v>
      </c>
      <c r="B25">
        <v>20.438420344387655</v>
      </c>
      <c r="C25">
        <v>28.38176026421926</v>
      </c>
      <c r="D25">
        <v>32.756474194350822</v>
      </c>
      <c r="E25">
        <v>11.081942528875107</v>
      </c>
    </row>
    <row r="26" spans="1:5" x14ac:dyDescent="0.25">
      <c r="A26">
        <v>49.43586333333333</v>
      </c>
      <c r="B26">
        <v>-7.6003502012495296</v>
      </c>
      <c r="C26">
        <v>25.645895092268248</v>
      </c>
      <c r="D26">
        <v>131.55136901624522</v>
      </c>
      <c r="E26">
        <v>12.583234296454702</v>
      </c>
    </row>
    <row r="27" spans="1:5" x14ac:dyDescent="0.25">
      <c r="A27">
        <v>46.315627499999998</v>
      </c>
      <c r="B27">
        <v>-2.9945374512166318</v>
      </c>
      <c r="C27">
        <v>25.574471620450442</v>
      </c>
      <c r="D27">
        <v>130.1140329650793</v>
      </c>
      <c r="E27">
        <v>10.578852563300275</v>
      </c>
    </row>
    <row r="28" spans="1:5" x14ac:dyDescent="0.25">
      <c r="A28">
        <v>287.49968753593748</v>
      </c>
      <c r="B28">
        <v>20.681003854829765</v>
      </c>
      <c r="C28">
        <v>30.721494407344931</v>
      </c>
      <c r="D28">
        <v>59.329752894658938</v>
      </c>
      <c r="E28">
        <v>20.07126059971764</v>
      </c>
    </row>
    <row r="29" spans="1:5" x14ac:dyDescent="0.25">
      <c r="A29">
        <v>315.79504688030465</v>
      </c>
      <c r="B29">
        <v>21.185314996736228</v>
      </c>
      <c r="C29">
        <v>30.81625465206125</v>
      </c>
      <c r="D29">
        <v>48.575611914196024</v>
      </c>
      <c r="E29">
        <v>20.180261314816185</v>
      </c>
    </row>
    <row r="30" spans="1:5" x14ac:dyDescent="0.25">
      <c r="A30">
        <v>495.6330773692377</v>
      </c>
      <c r="B30">
        <v>1.9025098204393329</v>
      </c>
      <c r="C30">
        <v>29.441899318519908</v>
      </c>
      <c r="D30">
        <v>144.68255524126923</v>
      </c>
      <c r="E30">
        <v>13.418013619505286</v>
      </c>
    </row>
    <row r="31" spans="1:5" x14ac:dyDescent="0.25">
      <c r="A31">
        <v>530.6037546908849</v>
      </c>
      <c r="B31">
        <v>4.1696139786281634</v>
      </c>
      <c r="C31">
        <v>29.682355578606554</v>
      </c>
      <c r="D31">
        <v>190.6844484440073</v>
      </c>
      <c r="E31">
        <v>13.210374254727043</v>
      </c>
    </row>
    <row r="32" spans="1:5" x14ac:dyDescent="0.25">
      <c r="A32">
        <v>62.127444399259261</v>
      </c>
      <c r="B32">
        <v>5.5229425961096315</v>
      </c>
      <c r="C32">
        <v>27.310352816738547</v>
      </c>
      <c r="D32">
        <v>73.040700664827952</v>
      </c>
      <c r="E32">
        <v>18.402618601133955</v>
      </c>
    </row>
    <row r="33" spans="1:5" x14ac:dyDescent="0.25">
      <c r="A33">
        <v>72.523698806370376</v>
      </c>
      <c r="B33">
        <v>10.166830623950521</v>
      </c>
      <c r="C33">
        <v>27.447057336145868</v>
      </c>
      <c r="D33">
        <v>69.950257580858704</v>
      </c>
      <c r="E33">
        <v>18.023927576446223</v>
      </c>
    </row>
    <row r="34" spans="1:5" x14ac:dyDescent="0.25">
      <c r="A34">
        <v>305.42211180018796</v>
      </c>
      <c r="B34">
        <v>11.876363668224016</v>
      </c>
      <c r="C34">
        <v>29.215496519713611</v>
      </c>
      <c r="D34">
        <v>99.278705857055371</v>
      </c>
      <c r="E34">
        <v>9.5038305447109401</v>
      </c>
    </row>
    <row r="35" spans="1:5" x14ac:dyDescent="0.25">
      <c r="A35">
        <v>376.75352246885518</v>
      </c>
      <c r="B35">
        <v>13.566861137015875</v>
      </c>
      <c r="C35">
        <v>29.580690577904011</v>
      </c>
      <c r="D35">
        <v>132.75864093563814</v>
      </c>
      <c r="E35">
        <v>9.5293757520859597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Master</vt:lpstr>
      <vt:lpstr>NP</vt:lpstr>
      <vt:lpstr>PRF</vt:lpstr>
      <vt:lpstr>UP</vt:lpstr>
      <vt:lpstr>LVRG</vt:lpstr>
      <vt:lpstr>COH</vt:lpstr>
      <vt:lpstr>Tabulasi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 Widiyati</dc:creator>
  <cp:lastModifiedBy>Dian Widiyati</cp:lastModifiedBy>
  <dcterms:created xsi:type="dcterms:W3CDTF">2020-02-26T08:13:35Z</dcterms:created>
  <dcterms:modified xsi:type="dcterms:W3CDTF">2020-02-28T12:44:06Z</dcterms:modified>
</cp:coreProperties>
</file>